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15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RESUMEN DE JUGADORES" sheetId="16" r:id="rId12"/>
  </sheets>
  <calcPr calcId="125725"/>
</workbook>
</file>

<file path=xl/calcChain.xml><?xml version="1.0" encoding="utf-8"?>
<calcChain xmlns="http://schemas.openxmlformats.org/spreadsheetml/2006/main">
  <c r="G14" i="15"/>
  <c r="H14" s="1"/>
  <c r="J14" s="1"/>
  <c r="F14"/>
  <c r="E14"/>
  <c r="D110" i="14"/>
  <c r="B110"/>
  <c r="A110"/>
  <c r="D109"/>
  <c r="B109"/>
  <c r="A109"/>
  <c r="D108"/>
  <c r="B108"/>
  <c r="A108"/>
  <c r="D107"/>
  <c r="B107"/>
  <c r="A107"/>
  <c r="D106"/>
  <c r="B106"/>
  <c r="A106"/>
  <c r="D105"/>
  <c r="B105"/>
  <c r="A105"/>
  <c r="D104"/>
  <c r="B104"/>
  <c r="A104"/>
  <c r="D103"/>
  <c r="B103"/>
  <c r="A103"/>
  <c r="D102"/>
  <c r="B102"/>
  <c r="A102"/>
  <c r="D101"/>
  <c r="B101"/>
  <c r="A101"/>
  <c r="D100"/>
  <c r="B100"/>
  <c r="A100"/>
  <c r="D99"/>
  <c r="B99"/>
  <c r="A99"/>
  <c r="D98"/>
  <c r="B98"/>
  <c r="A98"/>
  <c r="D97"/>
  <c r="B97"/>
  <c r="A97"/>
  <c r="D96"/>
  <c r="B96"/>
  <c r="A96"/>
  <c r="D95"/>
  <c r="B95"/>
  <c r="A95"/>
  <c r="D94"/>
  <c r="B94"/>
  <c r="A94"/>
  <c r="D93"/>
  <c r="B93"/>
  <c r="A93"/>
  <c r="D92"/>
  <c r="B92"/>
  <c r="A92"/>
  <c r="D91"/>
  <c r="B91"/>
  <c r="A91"/>
  <c r="D90"/>
  <c r="B90"/>
  <c r="A90"/>
  <c r="D89"/>
  <c r="B89"/>
  <c r="A89"/>
  <c r="D88"/>
  <c r="B88"/>
  <c r="A88"/>
  <c r="D87"/>
  <c r="B87"/>
  <c r="A87"/>
  <c r="D86"/>
  <c r="B86"/>
  <c r="A86"/>
  <c r="D85"/>
  <c r="B85"/>
  <c r="A85"/>
  <c r="D84"/>
  <c r="B84"/>
  <c r="A84"/>
  <c r="D83"/>
  <c r="B83"/>
  <c r="A83"/>
  <c r="D82"/>
  <c r="B82"/>
  <c r="A82"/>
  <c r="D81"/>
  <c r="B81"/>
  <c r="A81"/>
  <c r="D80"/>
  <c r="B80"/>
  <c r="A80"/>
  <c r="D79"/>
  <c r="B79"/>
  <c r="A79"/>
  <c r="D78"/>
  <c r="B78"/>
  <c r="A78"/>
  <c r="D77"/>
  <c r="B77"/>
  <c r="A77"/>
  <c r="D76"/>
  <c r="B76"/>
  <c r="A76"/>
  <c r="D75"/>
  <c r="B75"/>
  <c r="A75"/>
  <c r="D74"/>
  <c r="B74"/>
  <c r="A74"/>
  <c r="D73"/>
  <c r="B73"/>
  <c r="A73"/>
  <c r="D72"/>
  <c r="B72"/>
  <c r="A72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D52"/>
  <c r="B52"/>
  <c r="A52"/>
  <c r="D51"/>
  <c r="B51"/>
  <c r="A51"/>
  <c r="D50"/>
  <c r="B50"/>
  <c r="A50"/>
  <c r="D49"/>
  <c r="B49"/>
  <c r="A49"/>
  <c r="D48"/>
  <c r="B48"/>
  <c r="A48"/>
  <c r="D47"/>
  <c r="B47"/>
  <c r="A47"/>
  <c r="D49" i="9"/>
  <c r="D46"/>
  <c r="D44"/>
  <c r="D43"/>
  <c r="D40"/>
  <c r="D39"/>
  <c r="D41" i="10"/>
  <c r="D40"/>
  <c r="D39"/>
  <c r="D38"/>
  <c r="D37"/>
  <c r="D36"/>
  <c r="C49" i="12"/>
  <c r="C35"/>
  <c r="B17" i="16"/>
  <c r="F17"/>
  <c r="I26" i="13"/>
  <c r="I25"/>
  <c r="I22"/>
  <c r="I21"/>
  <c r="I18"/>
  <c r="I17"/>
  <c r="I14"/>
  <c r="I13"/>
  <c r="I10"/>
  <c r="I9"/>
  <c r="D115" i="14"/>
  <c r="B115"/>
  <c r="A115"/>
  <c r="D46"/>
  <c r="B46"/>
  <c r="A46"/>
  <c r="G20" i="5" l="1"/>
  <c r="H20" s="1"/>
  <c r="J20" s="1"/>
  <c r="H24"/>
  <c r="J24" s="1"/>
  <c r="G24"/>
  <c r="D18" i="6" l="1"/>
  <c r="D17"/>
  <c r="D15"/>
  <c r="D13"/>
  <c r="D12"/>
  <c r="D11"/>
  <c r="D10"/>
  <c r="G23" i="5" l="1"/>
  <c r="H23" s="1"/>
  <c r="J23" s="1"/>
  <c r="G36" l="1"/>
  <c r="H36" s="1"/>
  <c r="J36" s="1"/>
  <c r="G42"/>
  <c r="H42" s="1"/>
  <c r="J42" s="1"/>
  <c r="G41"/>
  <c r="H41" s="1"/>
  <c r="G40"/>
  <c r="H40" s="1"/>
  <c r="G39"/>
  <c r="H39" s="1"/>
  <c r="G37"/>
  <c r="H37" s="1"/>
  <c r="G35"/>
  <c r="H35" s="1"/>
  <c r="C57" i="12" l="1"/>
  <c r="C56"/>
  <c r="C74"/>
  <c r="C60"/>
  <c r="C69"/>
  <c r="C59"/>
  <c r="C68"/>
  <c r="C38"/>
  <c r="D32" i="7"/>
  <c r="D15"/>
  <c r="D12"/>
  <c r="D23" i="9"/>
  <c r="D21" i="10"/>
  <c r="D12"/>
  <c r="D11"/>
  <c r="F16" i="15"/>
  <c r="E16"/>
  <c r="G16" s="1"/>
  <c r="H16" s="1"/>
  <c r="F38" i="5"/>
  <c r="E38"/>
  <c r="F34"/>
  <c r="E34"/>
  <c r="G34" s="1"/>
  <c r="H34" s="1"/>
  <c r="F16"/>
  <c r="E16"/>
  <c r="F11"/>
  <c r="E11"/>
  <c r="G11" s="1"/>
  <c r="H11" s="1"/>
  <c r="F12" i="4"/>
  <c r="E12"/>
  <c r="F26" i="1"/>
  <c r="E26"/>
  <c r="G26" s="1"/>
  <c r="H26" s="1"/>
  <c r="G16" i="5" l="1"/>
  <c r="H16" s="1"/>
  <c r="G38"/>
  <c r="H38" s="1"/>
  <c r="C73" i="12"/>
  <c r="C67"/>
  <c r="C66"/>
  <c r="C64"/>
  <c r="C63"/>
  <c r="C62"/>
  <c r="C58"/>
  <c r="C55"/>
  <c r="C50"/>
  <c r="C46"/>
  <c r="C44"/>
  <c r="C43"/>
  <c r="C37"/>
  <c r="C33"/>
  <c r="C32"/>
  <c r="C26"/>
  <c r="C25"/>
  <c r="C22"/>
  <c r="D31" i="7"/>
  <c r="D10"/>
  <c r="D30" i="9"/>
  <c r="D20"/>
  <c r="D18"/>
  <c r="D11"/>
  <c r="D24" i="10"/>
  <c r="D23"/>
  <c r="G44" i="5"/>
  <c r="H44" s="1"/>
  <c r="G43"/>
  <c r="H43" s="1"/>
  <c r="D24" i="9" l="1"/>
  <c r="F27" i="1"/>
  <c r="E27"/>
  <c r="F12" i="5"/>
  <c r="E12"/>
  <c r="G12" s="1"/>
  <c r="H12" s="1"/>
  <c r="J12" s="1"/>
  <c r="C72" i="12"/>
  <c r="C42"/>
  <c r="C36"/>
  <c r="C29"/>
  <c r="C11"/>
  <c r="F11" i="15"/>
  <c r="E11"/>
  <c r="F17" i="5"/>
  <c r="E17"/>
  <c r="F15"/>
  <c r="E15"/>
  <c r="F16" i="1"/>
  <c r="E16"/>
  <c r="F15"/>
  <c r="E15"/>
  <c r="F14"/>
  <c r="E14"/>
  <c r="F11"/>
  <c r="G11" s="1"/>
  <c r="H11" s="1"/>
  <c r="E11"/>
  <c r="C88" i="12"/>
  <c r="D13" i="7"/>
  <c r="D10" i="9"/>
  <c r="D26" i="10"/>
  <c r="F17" i="15"/>
  <c r="G17" s="1"/>
  <c r="H17" s="1"/>
  <c r="J17" s="1"/>
  <c r="E17"/>
  <c r="F13"/>
  <c r="E13"/>
  <c r="J43" i="5"/>
  <c r="J16" i="15"/>
  <c r="G18"/>
  <c r="H18" s="1"/>
  <c r="J18" s="1"/>
  <c r="G15"/>
  <c r="H15" s="1"/>
  <c r="J15" s="1"/>
  <c r="J41" i="5"/>
  <c r="J40"/>
  <c r="J39"/>
  <c r="J37"/>
  <c r="J35"/>
  <c r="J38"/>
  <c r="J34"/>
  <c r="J44"/>
  <c r="G18"/>
  <c r="H18" s="1"/>
  <c r="J18" s="1"/>
  <c r="G13"/>
  <c r="H13" s="1"/>
  <c r="J13" s="1"/>
  <c r="G21"/>
  <c r="H21" s="1"/>
  <c r="J21" s="1"/>
  <c r="G19"/>
  <c r="H19" s="1"/>
  <c r="J19" s="1"/>
  <c r="G14"/>
  <c r="H14" s="1"/>
  <c r="J14" s="1"/>
  <c r="J11"/>
  <c r="J16"/>
  <c r="G22"/>
  <c r="H22" s="1"/>
  <c r="J22" s="1"/>
  <c r="G16" i="4"/>
  <c r="H16" s="1"/>
  <c r="J16" s="1"/>
  <c r="G14"/>
  <c r="H14" s="1"/>
  <c r="J14" s="1"/>
  <c r="G13"/>
  <c r="H13" s="1"/>
  <c r="J13" s="1"/>
  <c r="G15"/>
  <c r="H15" s="1"/>
  <c r="J15" s="1"/>
  <c r="G11"/>
  <c r="H11" s="1"/>
  <c r="J11" s="1"/>
  <c r="G12"/>
  <c r="H12" s="1"/>
  <c r="J12" s="1"/>
  <c r="J26" i="1"/>
  <c r="G29"/>
  <c r="H29" s="1"/>
  <c r="J29" s="1"/>
  <c r="G28"/>
  <c r="H28" s="1"/>
  <c r="J28" s="1"/>
  <c r="G27"/>
  <c r="H27" s="1"/>
  <c r="J27" s="1"/>
  <c r="G12"/>
  <c r="H12" s="1"/>
  <c r="G13"/>
  <c r="H13" s="1"/>
  <c r="G16"/>
  <c r="H16" s="1"/>
  <c r="G15" i="5" l="1"/>
  <c r="H15" s="1"/>
  <c r="J15" s="1"/>
  <c r="G17"/>
  <c r="H17" s="1"/>
  <c r="J17" s="1"/>
  <c r="G15" i="1"/>
  <c r="H15" s="1"/>
  <c r="J15" s="1"/>
  <c r="J16"/>
  <c r="J11"/>
  <c r="G11" i="15"/>
  <c r="H11" s="1"/>
  <c r="J11" s="1"/>
  <c r="I29" i="13" s="1"/>
  <c r="G12" i="15"/>
  <c r="H12" s="1"/>
  <c r="J12" s="1"/>
  <c r="I30" i="13" s="1"/>
  <c r="G13" i="15"/>
  <c r="H13" s="1"/>
  <c r="J13" s="1"/>
  <c r="J13" i="1"/>
  <c r="D14" i="13"/>
  <c r="C14"/>
  <c r="B14"/>
  <c r="A14"/>
  <c r="F14" l="1"/>
  <c r="E14"/>
  <c r="G14" i="1"/>
  <c r="H14" s="1"/>
  <c r="J14" s="1"/>
  <c r="J12" l="1"/>
  <c r="G14" i="13"/>
  <c r="H14" s="1"/>
  <c r="F30" l="1"/>
  <c r="E30"/>
  <c r="D30"/>
  <c r="C30"/>
  <c r="B30"/>
  <c r="A30"/>
  <c r="F29"/>
  <c r="E29"/>
  <c r="D29"/>
  <c r="C29"/>
  <c r="B29"/>
  <c r="A29"/>
  <c r="A27"/>
  <c r="G29" l="1"/>
  <c r="A8" i="15"/>
  <c r="A6"/>
  <c r="A5"/>
  <c r="A2"/>
  <c r="A1"/>
  <c r="F22" i="13"/>
  <c r="E22"/>
  <c r="D22"/>
  <c r="C22"/>
  <c r="B22"/>
  <c r="A22"/>
  <c r="F18"/>
  <c r="E18"/>
  <c r="D18"/>
  <c r="C18"/>
  <c r="B18"/>
  <c r="A18"/>
  <c r="F10"/>
  <c r="E10"/>
  <c r="D10"/>
  <c r="C10"/>
  <c r="B10"/>
  <c r="A10"/>
  <c r="F9"/>
  <c r="E9"/>
  <c r="D9"/>
  <c r="C9"/>
  <c r="B9"/>
  <c r="A9"/>
  <c r="A31" i="5"/>
  <c r="A8"/>
  <c r="A8" i="4"/>
  <c r="G30" i="13" l="1"/>
  <c r="G9"/>
  <c r="H9" s="1"/>
  <c r="G10"/>
  <c r="H10" s="1"/>
  <c r="H29" l="1"/>
  <c r="H30"/>
  <c r="G22" l="1"/>
  <c r="H22" s="1"/>
  <c r="G18"/>
  <c r="H18" s="1"/>
  <c r="A5" l="1"/>
  <c r="A5" i="5" l="1"/>
  <c r="A5" i="4"/>
  <c r="A41" i="14" l="1"/>
  <c r="B41"/>
  <c r="C41"/>
  <c r="D41"/>
  <c r="D16" l="1"/>
  <c r="C16"/>
  <c r="B16"/>
  <c r="A16"/>
  <c r="F26" i="13" l="1"/>
  <c r="E26"/>
  <c r="D26"/>
  <c r="C26"/>
  <c r="B26"/>
  <c r="A26"/>
  <c r="F25"/>
  <c r="E25"/>
  <c r="D25"/>
  <c r="C25"/>
  <c r="B25"/>
  <c r="A25"/>
  <c r="A23"/>
  <c r="H25" l="1"/>
  <c r="H26"/>
  <c r="G26"/>
  <c r="G25"/>
  <c r="D40" i="14" l="1"/>
  <c r="C40"/>
  <c r="B40"/>
  <c r="A40"/>
  <c r="A38"/>
  <c r="D36" l="1"/>
  <c r="C36"/>
  <c r="B36"/>
  <c r="A36"/>
  <c r="D35"/>
  <c r="C35"/>
  <c r="B35"/>
  <c r="A35"/>
  <c r="A33"/>
  <c r="D45" l="1"/>
  <c r="B45"/>
  <c r="A45"/>
  <c r="D31"/>
  <c r="C31"/>
  <c r="B31"/>
  <c r="A31"/>
  <c r="D30"/>
  <c r="C30"/>
  <c r="B30"/>
  <c r="A30"/>
  <c r="A28"/>
  <c r="D26"/>
  <c r="C26"/>
  <c r="B26"/>
  <c r="A26"/>
  <c r="D25"/>
  <c r="C25"/>
  <c r="B25"/>
  <c r="A25"/>
  <c r="A23"/>
  <c r="D21"/>
  <c r="C21"/>
  <c r="B21"/>
  <c r="A21"/>
  <c r="D20"/>
  <c r="C20"/>
  <c r="B20"/>
  <c r="A20"/>
  <c r="A18"/>
  <c r="D15"/>
  <c r="C15"/>
  <c r="B15"/>
  <c r="A15"/>
  <c r="A13"/>
  <c r="D11"/>
  <c r="C11"/>
  <c r="B11"/>
  <c r="A11"/>
  <c r="D10"/>
  <c r="C10"/>
  <c r="B10"/>
  <c r="A10"/>
  <c r="A8"/>
  <c r="A6"/>
  <c r="A3"/>
  <c r="A2"/>
  <c r="A1"/>
  <c r="A19" i="13" l="1"/>
  <c r="A1"/>
  <c r="A2"/>
  <c r="A6"/>
  <c r="A11"/>
  <c r="A13"/>
  <c r="B13"/>
  <c r="C13"/>
  <c r="D13"/>
  <c r="E13"/>
  <c r="F13"/>
  <c r="A15"/>
  <c r="A17"/>
  <c r="B17"/>
  <c r="C17"/>
  <c r="D17"/>
  <c r="E17"/>
  <c r="F17"/>
  <c r="A21"/>
  <c r="B21"/>
  <c r="C21"/>
  <c r="D21"/>
  <c r="E21"/>
  <c r="F21"/>
  <c r="A1" i="12"/>
  <c r="A2"/>
  <c r="A6"/>
  <c r="A1" i="6"/>
  <c r="A2"/>
  <c r="A6"/>
  <c r="A1" i="7"/>
  <c r="A2"/>
  <c r="A6"/>
  <c r="A1" i="9"/>
  <c r="A2"/>
  <c r="A6"/>
  <c r="A1" i="10"/>
  <c r="A2"/>
  <c r="A6"/>
  <c r="A1" i="5"/>
  <c r="A2"/>
  <c r="A6"/>
  <c r="A1" i="4"/>
  <c r="A2"/>
  <c r="A6"/>
  <c r="G21" i="13" l="1"/>
  <c r="H21" s="1"/>
  <c r="G17"/>
  <c r="H17" s="1"/>
  <c r="G13"/>
  <c r="H13" s="1"/>
</calcChain>
</file>

<file path=xl/sharedStrings.xml><?xml version="1.0" encoding="utf-8"?>
<sst xmlns="http://schemas.openxmlformats.org/spreadsheetml/2006/main" count="1250" uniqueCount="328">
  <si>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</si>
  <si>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</si>
  <si>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</si>
  <si>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</si>
  <si>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</si>
  <si>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</si>
  <si>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</si>
  <si>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</si>
  <si>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</si>
  <si>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</si>
  <si>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</si>
  <si>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</si>
  <si>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</si>
  <si>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</si>
  <si>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</si>
  <si>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NETO</t>
  </si>
  <si>
    <t>2° NETO</t>
  </si>
  <si>
    <t>5 HOYOS MEDAL PLAY</t>
  </si>
  <si>
    <t>1°</t>
  </si>
  <si>
    <t>F.N.</t>
  </si>
  <si>
    <t>2°</t>
  </si>
  <si>
    <t>CATEGORIA PROMOCIONALES A HCP.</t>
  </si>
  <si>
    <t>Tot.</t>
  </si>
  <si>
    <t>DOS VUELTAS DE 9 HOYOS MEDAL PLAY</t>
  </si>
  <si>
    <t>CABALLEROS JUVENILES (Clases 95- 96- 97- 98 - 99 - 00 y 01)</t>
  </si>
  <si>
    <t>CABALLEROS MENORES (Clases 02 - 03 y 04)</t>
  </si>
  <si>
    <t>DAMAS MENORES DE 15 AÑOS (Clases 05 y Posteriores)</t>
  </si>
  <si>
    <t>BOCHAS ROJAS</t>
  </si>
  <si>
    <t>ALBATROS - CABALLEROS CLASES 07 - 08 -</t>
  </si>
  <si>
    <t>ALBATROS - DAMAS CLASES 07 - 08 -</t>
  </si>
  <si>
    <t>EAGLES - CABALLEROS CLASES 09 - 10 -</t>
  </si>
  <si>
    <t>EAGLES - DAMAS CLASES 09 - 10 -</t>
  </si>
  <si>
    <t>BIRDIES - CABALLEROS CLASES 11 Y POSTERIORES -</t>
  </si>
  <si>
    <t>BIRDIES - DAMAS CLASES 11 Y POSTERIORES -</t>
  </si>
  <si>
    <t>BOCHAS BLANCAS</t>
  </si>
  <si>
    <t>DAMAS JUVENILES Y MENORES DE 18 AÑOS</t>
  </si>
  <si>
    <t>3° NETO</t>
  </si>
  <si>
    <t>CLUBES DE LA FEDERACION</t>
  </si>
  <si>
    <t>CABALLEROS MENORES DE 15 AÑOS (Clases 05 y 06)</t>
  </si>
  <si>
    <t>CABALLEROS MENORES DE 13 AÑOS (Clases 07 y Posteriores)</t>
  </si>
  <si>
    <t>DAMAS JUVENILES Y MENORES</t>
  </si>
  <si>
    <t>DAM JUV Y MEN</t>
  </si>
  <si>
    <t>CAB JUV</t>
  </si>
  <si>
    <t>CAB M 15</t>
  </si>
  <si>
    <t>DAM M 15</t>
  </si>
  <si>
    <t>CAB M 18</t>
  </si>
  <si>
    <t>CAB M 13</t>
  </si>
  <si>
    <t>DAM ALB</t>
  </si>
  <si>
    <t>DAM EAG</t>
  </si>
  <si>
    <t>DAM BIR</t>
  </si>
  <si>
    <t>CAB ALB</t>
  </si>
  <si>
    <t>CAB EAG</t>
  </si>
  <si>
    <t>CAB BIR</t>
  </si>
  <si>
    <t>PROM</t>
  </si>
  <si>
    <t>5 HOYOS</t>
  </si>
  <si>
    <t>CATEGORIA</t>
  </si>
  <si>
    <t>JUGDORES</t>
  </si>
  <si>
    <t xml:space="preserve">PAR </t>
  </si>
  <si>
    <t>CANCHA</t>
  </si>
  <si>
    <t>DIF.</t>
  </si>
  <si>
    <t>PAR</t>
  </si>
  <si>
    <t xml:space="preserve">1° </t>
  </si>
  <si>
    <t xml:space="preserve">2° </t>
  </si>
  <si>
    <t>NPT</t>
  </si>
  <si>
    <t>3° TORNEO VIRTUAL</t>
  </si>
  <si>
    <t>07 AL 11 DE NOVIEMBRE DE 2020</t>
  </si>
  <si>
    <t>CICCOLA FRANCESCO</t>
  </si>
  <si>
    <t>CICCOLA SANTINO</t>
  </si>
  <si>
    <t>ML</t>
  </si>
  <si>
    <t>NASSR TOMAS</t>
  </si>
  <si>
    <t>ROLON FRANCISCO</t>
  </si>
  <si>
    <t>AYESA SOFIA</t>
  </si>
  <si>
    <t>JENKINS STEVE</t>
  </si>
  <si>
    <t>LANDI SANTIAGO</t>
  </si>
  <si>
    <t>MDPGC</t>
  </si>
  <si>
    <t>MURCIALUCA</t>
  </si>
  <si>
    <t>MUGURUZA SOL</t>
  </si>
  <si>
    <t>CARACOTCHE JUANA</t>
  </si>
  <si>
    <t>JENKINS UMA</t>
  </si>
  <si>
    <t>LANDI AGUSTIN</t>
  </si>
  <si>
    <t>BENEITO BENJAMIN</t>
  </si>
  <si>
    <t>CAAMAÑO SIMON</t>
  </si>
  <si>
    <t>LEON CAMPOS IARA</t>
  </si>
  <si>
    <t>CARACOTCHE CARMELA</t>
  </si>
  <si>
    <t>CEJAS SANTIAGO</t>
  </si>
  <si>
    <t>DATO MARTINA</t>
  </si>
  <si>
    <t>NASSR MARTIN</t>
  </si>
  <si>
    <t>FERNADEZ FRANCISCO</t>
  </si>
  <si>
    <t>MICHELI TOMAS</t>
  </si>
  <si>
    <t>ACUÑA TOBIAS</t>
  </si>
  <si>
    <t>EVTGC</t>
  </si>
  <si>
    <t>ARMANI SANTIAGO</t>
  </si>
  <si>
    <t>JARQUE TOMAS</t>
  </si>
  <si>
    <t>SALVI BENICIO</t>
  </si>
  <si>
    <t>CRUZ COSME</t>
  </si>
  <si>
    <t>SALVI SANTINO</t>
  </si>
  <si>
    <t>JARQUE FELIPE</t>
  </si>
  <si>
    <t>DURINGER BENJAMIN</t>
  </si>
  <si>
    <t>VIALI MARTIN</t>
  </si>
  <si>
    <t>CRUZ AGUSTO</t>
  </si>
  <si>
    <t>PARDO LORENZO</t>
  </si>
  <si>
    <t>GERINO RENATO</t>
  </si>
  <si>
    <t>FARHA JULIAN</t>
  </si>
  <si>
    <t>JARQUE VIOLETA</t>
  </si>
  <si>
    <t>FARHA ALBERTINA</t>
  </si>
  <si>
    <t>MURILLO JOAQUIN</t>
  </si>
  <si>
    <t>VIALI NEHUEN</t>
  </si>
  <si>
    <t>ROLON ESTANISLAO</t>
  </si>
  <si>
    <t>DARDANELLO ARON</t>
  </si>
  <si>
    <t>STGC</t>
  </si>
  <si>
    <t>CLADAKIS, JUAN MANUEL</t>
  </si>
  <si>
    <t>DOMINGUEZ COPPOLA FRANCO</t>
  </si>
  <si>
    <t>CAÑETE MIA</t>
  </si>
  <si>
    <t>VIRAG LUCA</t>
  </si>
  <si>
    <t>FERRO AGUSTIN</t>
  </si>
  <si>
    <t>MARTINEZ ISABELLA</t>
  </si>
  <si>
    <t>DECESARE DANTE</t>
  </si>
  <si>
    <t>VIRAG MATTIA</t>
  </si>
  <si>
    <t>SCOTTI ANNA</t>
  </si>
  <si>
    <t>ERRECART GIMENA</t>
  </si>
  <si>
    <t>SUAREZ MILAGROS</t>
  </si>
  <si>
    <t>ZHAO JOSE</t>
  </si>
  <si>
    <t>RAMPOLDI SARA</t>
  </si>
  <si>
    <t>MARTIN IARA</t>
  </si>
  <si>
    <t>TEPER CASARES JEREMIAS</t>
  </si>
  <si>
    <t>DEL RIO DAVID</t>
  </si>
  <si>
    <t>LANCELOTTI VALENTINO</t>
  </si>
  <si>
    <t>ACHEN ALDANA</t>
  </si>
  <si>
    <t>RANGO ISABELLA</t>
  </si>
  <si>
    <t>PORTIS SANTIAGO</t>
  </si>
  <si>
    <t>GALOPPO SANTINO</t>
  </si>
  <si>
    <t>ALLENDE FEDERICO</t>
  </si>
  <si>
    <t>MARTIN IGNACIO</t>
  </si>
  <si>
    <t>SANCHEZ TENORIO SANTIAGO</t>
  </si>
  <si>
    <t>CACACE ISABELLA</t>
  </si>
  <si>
    <t>MEILAN LOURDES</t>
  </si>
  <si>
    <t>MEDINILLA PILAR</t>
  </si>
  <si>
    <t>SUAREZ MARTINA</t>
  </si>
  <si>
    <t>CACACE BLAS</t>
  </si>
  <si>
    <t>MARTIN MILENA</t>
  </si>
  <si>
    <t>OGUETA BAUTISTA</t>
  </si>
  <si>
    <t>GUEVARA AGOSTINA</t>
  </si>
  <si>
    <t>GUEVARA GIULIANA</t>
  </si>
  <si>
    <t>BERENGENO JOAQUINA</t>
  </si>
  <si>
    <t>CAÑETE SARA</t>
  </si>
  <si>
    <t>DEL CERRO JUANA</t>
  </si>
  <si>
    <t>DALMASSO JUAN CRUZ</t>
  </si>
  <si>
    <t>RIVAS BAUTISTA</t>
  </si>
  <si>
    <t>GIANERA BENJAMIN</t>
  </si>
  <si>
    <t>MOLINA SOL</t>
  </si>
  <si>
    <t>MUNIN ECKERL JUAN IGNACIO</t>
  </si>
  <si>
    <t>GIANERA GERONIMO</t>
  </si>
  <si>
    <t>PASTOR INDIANA</t>
  </si>
  <si>
    <t>EIREA GASPAR</t>
  </si>
  <si>
    <t>SORRIBAS DELFINA</t>
  </si>
  <si>
    <t>SUAREZ OLIVIA</t>
  </si>
  <si>
    <t>SILVEIRA SOFIA</t>
  </si>
  <si>
    <t>FESTAIE VICTORIA</t>
  </si>
  <si>
    <t>MARTINELLI FELICITAS</t>
  </si>
  <si>
    <t>MEDINILLA MANUEL</t>
  </si>
  <si>
    <t>PIERONI ISABELLA</t>
  </si>
  <si>
    <t>CMDP</t>
  </si>
  <si>
    <t>OLIVERI CATERINA</t>
  </si>
  <si>
    <t>SPGC</t>
  </si>
  <si>
    <t>CERONO ENZO</t>
  </si>
  <si>
    <t>SAFE FRANCO</t>
  </si>
  <si>
    <t>BERCHOT TOMAS</t>
  </si>
  <si>
    <t>LUCHETTA VALENTIN</t>
  </si>
  <si>
    <t>OLIVERI ANGELINA</t>
  </si>
  <si>
    <t>POLITA N. MAITE</t>
  </si>
  <si>
    <t>PATTI NICOLAS</t>
  </si>
  <si>
    <t>SANTANA PEDRO</t>
  </si>
  <si>
    <t>TOBLER GONZALO</t>
  </si>
  <si>
    <t>LEOFANTI RENZO</t>
  </si>
  <si>
    <t>STIER RENATA</t>
  </si>
  <si>
    <t>REYNOSA JOAQUIN</t>
  </si>
  <si>
    <t>SANTANA MORA</t>
  </si>
  <si>
    <t>MOIONI MAGDALENA</t>
  </si>
  <si>
    <t>PATTI VICENTE</t>
  </si>
  <si>
    <t>ROLDAN FELIPE</t>
  </si>
  <si>
    <t>BIONDELI ALEGRA</t>
  </si>
  <si>
    <t>GOÑI MATEO</t>
  </si>
  <si>
    <t>ETCHEGOYEN JAIME</t>
  </si>
  <si>
    <t>ETCHEGOYEN CIRILO</t>
  </si>
  <si>
    <t>SANTANA AUGUSTO</t>
  </si>
  <si>
    <t>LEOFANTI BIANCA</t>
  </si>
  <si>
    <t>POLITA NUÑEZ LUCIA</t>
  </si>
  <si>
    <t>GODINO MAYRA</t>
  </si>
  <si>
    <t>MONJE ANIL</t>
  </si>
  <si>
    <t>VEGA GERMAN</t>
  </si>
  <si>
    <t>TGC</t>
  </si>
  <si>
    <t>JUAREZ BENJAMIN</t>
  </si>
  <si>
    <t>ALFAYA SIMON</t>
  </si>
  <si>
    <t>COLL RUFINO</t>
  </si>
  <si>
    <t>BERROETA SEGUNDO</t>
  </si>
  <si>
    <t>CERESETO ALVARO</t>
  </si>
  <si>
    <t>TRUEBA BENJAMIN</t>
  </si>
  <si>
    <t>VALLE FELIPE</t>
  </si>
  <si>
    <t>MARTIN JAIME</t>
  </si>
  <si>
    <t>MUNAR FELIX</t>
  </si>
  <si>
    <t>ABETTE DANTE</t>
  </si>
  <si>
    <t>DE ZUBIZARRETA MATEO</t>
  </si>
  <si>
    <t>FELICE JUAN</t>
  </si>
  <si>
    <t>VALLE ANTONIA</t>
  </si>
  <si>
    <t>HELLMUND CAMILO</t>
  </si>
  <si>
    <t>MONTES VALENTIN</t>
  </si>
  <si>
    <t>DEFERRARI SEGUNDO</t>
  </si>
  <si>
    <t>TRUEBA PEDRO</t>
  </si>
  <si>
    <t>POLIFRONI CONSTANZA</t>
  </si>
  <si>
    <t>PARDINI FRANCO</t>
  </si>
  <si>
    <t>MAROLDA ISIDRO</t>
  </si>
  <si>
    <t>MICHELLINI RAMIRO</t>
  </si>
  <si>
    <t>LARREGAIN JUAN IGNACIO</t>
  </si>
  <si>
    <t>PRIOLETTO SANTIAGO</t>
  </si>
  <si>
    <t>VIEIRA ANTONIO</t>
  </si>
  <si>
    <t>REPETTO JUAN CRUZ</t>
  </si>
  <si>
    <t>LARREGAIN GABRIEL</t>
  </si>
  <si>
    <t>GOTI JULIO</t>
  </si>
  <si>
    <t>CERESETO AUGUSTO</t>
  </si>
  <si>
    <t>VERELLEN JUSTINA</t>
  </si>
  <si>
    <t>PRIOLETTO ALMA</t>
  </si>
  <si>
    <t>MORDENTTI IGNACIA</t>
  </si>
  <si>
    <t>MORDENTTI SANTIAGO</t>
  </si>
  <si>
    <t>PALACIOS BAUTISTA</t>
  </si>
  <si>
    <t>PICABEA JULIAN</t>
  </si>
  <si>
    <t>SULPIS SEGUNDO</t>
  </si>
  <si>
    <t>ABETTE GASPAR</t>
  </si>
  <si>
    <t>PICABEA FERMÍN</t>
  </si>
  <si>
    <t>JUAREZ FRANCISCO</t>
  </si>
  <si>
    <t>PROBICITO IGNACIO</t>
  </si>
  <si>
    <t>GOTI CAMILO</t>
  </si>
  <si>
    <t>PICABEA IGNACIO</t>
  </si>
  <si>
    <t>PROBICITO LOLA</t>
  </si>
  <si>
    <t>DATOLA SANTINO</t>
  </si>
  <si>
    <t>BRISIGHELLI LUCA</t>
  </si>
  <si>
    <t>NGC</t>
  </si>
  <si>
    <t>ORTALE FELIPE</t>
  </si>
  <si>
    <t>SERRES JOSEFINA</t>
  </si>
  <si>
    <t>MORAN VALENTINA</t>
  </si>
  <si>
    <t>SALVI PAULA</t>
  </si>
  <si>
    <t>GIMENEZ GONZALO</t>
  </si>
  <si>
    <t>ULLUA BAUTISTA</t>
  </si>
  <si>
    <t>GUERRERO TOMAS</t>
  </si>
  <si>
    <t>PORCARO TOMAS</t>
  </si>
  <si>
    <t>FERNANDEZ ANTONIO</t>
  </si>
  <si>
    <t>LARA ESTANISLAO</t>
  </si>
  <si>
    <t xml:space="preserve">FERRERO MERCEDES </t>
  </si>
  <si>
    <t>DANIEL KATJA</t>
  </si>
  <si>
    <t>LARA AGUSTINA</t>
  </si>
  <si>
    <t>RENDO GUADALUPE</t>
  </si>
  <si>
    <t>CAMILO LATORRACA</t>
  </si>
  <si>
    <t>PORCARO UMA</t>
  </si>
  <si>
    <t>FERNANDEZ ELISA</t>
  </si>
  <si>
    <t>CANELLI ESMERALDA</t>
  </si>
  <si>
    <t>BAUTISTA HAUN</t>
  </si>
  <si>
    <t>RODRIGUEZ FLORENCIA</t>
  </si>
  <si>
    <t>ORESTE FALCON</t>
  </si>
  <si>
    <t>P</t>
  </si>
  <si>
    <t>T</t>
  </si>
  <si>
    <r>
      <t xml:space="preserve">SALANITRO TOMAS </t>
    </r>
    <r>
      <rPr>
        <b/>
        <sz val="15"/>
        <color indexed="17"/>
        <rFont val="Arial"/>
        <family val="2"/>
      </rPr>
      <t>(Ult. 6 H 36)</t>
    </r>
  </si>
  <si>
    <r>
      <t xml:space="preserve">LI PUMA IGNACIO </t>
    </r>
    <r>
      <rPr>
        <b/>
        <sz val="15"/>
        <color indexed="17"/>
        <rFont val="Arial"/>
        <family val="2"/>
      </rPr>
      <t>(Ult. 6 H 33)</t>
    </r>
  </si>
  <si>
    <t>DABOS BENJAMiN</t>
  </si>
  <si>
    <t>FAIRBAIRN NICOLAS</t>
  </si>
  <si>
    <t>PEREZ SANTANDREA FERMIN</t>
  </si>
  <si>
    <t>ARANO ROCIO</t>
  </si>
  <si>
    <t>MONTES JOAQUIN</t>
  </si>
  <si>
    <t>SASIA CAMILA</t>
  </si>
  <si>
    <t>MAIQUES ANA</t>
  </si>
  <si>
    <t>RECAREY FRANCO NAHUEL</t>
  </si>
  <si>
    <t>ROTHEMBERGER MATEO</t>
  </si>
  <si>
    <t>CASTELLI CLARA RENATA</t>
  </si>
  <si>
    <t>CARACOTCHE FACUNDO</t>
  </si>
  <si>
    <t>MORUA CARIAC MATEO</t>
  </si>
  <si>
    <t>DI IORIO GIANLUCA</t>
  </si>
  <si>
    <t>BILBAO FRANCISCO EUGENIO</t>
  </si>
  <si>
    <t>SCALA FACUNDO</t>
  </si>
  <si>
    <t>GUEVARA GUIDO</t>
  </si>
  <si>
    <t>CARACOIX FELIPE</t>
  </si>
  <si>
    <t>CABRERA AGUSTIN</t>
  </si>
  <si>
    <t>ROVARINO SANTINO</t>
  </si>
  <si>
    <t>TOBLER SANTIAGO</t>
  </si>
  <si>
    <t>MOIONI DANTE</t>
  </si>
  <si>
    <t>GARCIA CUENCA ZOE</t>
  </si>
  <si>
    <t>LEOFANTI DANTE SALVADOR</t>
  </si>
  <si>
    <t>MORUA CARIAC SANTIAGO</t>
  </si>
  <si>
    <t>LAFRAGETTE RAMIRO</t>
  </si>
  <si>
    <t>GOTI MIGUEL</t>
  </si>
  <si>
    <t>GIANFORMAGIO ANTONELLA</t>
  </si>
  <si>
    <t>ROMERO SIMON</t>
  </si>
  <si>
    <t>BASUALDO JOAQUIN</t>
  </si>
  <si>
    <t>POLLITTI FAUSTO</t>
  </si>
  <si>
    <t>CABRERA VALENTINA</t>
  </si>
  <si>
    <t>MACIAS JACINTO</t>
  </si>
  <si>
    <t>MARCO DEL PONT BENJAMIN</t>
  </si>
  <si>
    <t>MORELLO FELIPE</t>
  </si>
  <si>
    <t>FERNANDEZ GUERRERO TOMAS</t>
  </si>
  <si>
    <t>RUGGERI ROCIO</t>
  </si>
  <si>
    <t>TOCAGNI JUAN MARTIN</t>
  </si>
  <si>
    <t>DEPREZ UMMA</t>
  </si>
  <si>
    <t>MEDINA GABBETA VALENTIN</t>
  </si>
  <si>
    <t>GORLA TOBIAS</t>
  </si>
  <si>
    <t>RUGGERI RENZO</t>
  </si>
  <si>
    <t>DE LA TORRE BENJAMIN</t>
  </si>
  <si>
    <t>ROJAS URKO</t>
  </si>
  <si>
    <t>SALANUEVA JULIANA</t>
  </si>
  <si>
    <t>SANTOYANNI JOAQUIN</t>
  </si>
  <si>
    <t>ROCCO LORENZO</t>
  </si>
  <si>
    <t>OLDANO SANTINO</t>
  </si>
  <si>
    <t>MOURELOS IGNACIO</t>
  </si>
  <si>
    <t>ALEMAN BENJAMIN</t>
  </si>
  <si>
    <t>DATOLA DANTE</t>
  </si>
  <si>
    <t>PARASUCO AXEL GONZALO</t>
  </si>
  <si>
    <t>GOTI ALFONSO</t>
  </si>
  <si>
    <t>PASSARELLI BENICIO</t>
  </si>
  <si>
    <t>MEDINA GABBETA FRANCESCO</t>
  </si>
  <si>
    <t>DE PIERRO JUSTINO</t>
  </si>
  <si>
    <t>ASTESANO AGOSTINI FERMIN</t>
  </si>
  <si>
    <t>DO COBO MAXIMO</t>
  </si>
  <si>
    <t>KALIWNOSKI IVO</t>
  </si>
  <si>
    <t>POMPONIO VALENTINO</t>
  </si>
  <si>
    <t>CASTRO LOLA</t>
  </si>
  <si>
    <t>RODRIGUEZ JULIETA</t>
  </si>
  <si>
    <t>PEREZ IMANOL</t>
  </si>
  <si>
    <t>PEREZ AMBAR</t>
  </si>
  <si>
    <t>CATEGORIA GOLFISTAS INTEGRDOS</t>
  </si>
  <si>
    <t>GGII</t>
  </si>
  <si>
    <t>38 JUGADORES</t>
  </si>
  <si>
    <t>CANTIDAD DE JUGADORES QUE NO SE INSCRIBIERON Y SE ANOTARON LUEGO DEL CIERRE DE INSCRIPCIONES</t>
  </si>
</sst>
</file>

<file path=xl/styles.xml><?xml version="1.0" encoding="utf-8"?>
<styleSheet xmlns="http://schemas.openxmlformats.org/spreadsheetml/2006/main">
  <numFmts count="2">
    <numFmt numFmtId="164" formatCode="dd/mm/yyyy;@"/>
    <numFmt numFmtId="165" formatCode="[$-C0A]General"/>
  </numFmts>
  <fonts count="31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b/>
      <sz val="15"/>
      <color theme="0"/>
      <name val="Arial"/>
      <family val="2"/>
    </font>
    <font>
      <sz val="20"/>
      <name val="Arial"/>
      <family val="2"/>
    </font>
    <font>
      <b/>
      <sz val="20"/>
      <color rgb="FFFF000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5"/>
      <color indexed="17"/>
      <name val="Arial"/>
      <family val="2"/>
    </font>
    <font>
      <b/>
      <sz val="15"/>
      <color rgb="FFFF0000"/>
      <name val="Arial"/>
      <family val="2"/>
    </font>
    <font>
      <sz val="15"/>
      <color rgb="FFFF0000"/>
      <name val="Arial"/>
      <family val="2"/>
    </font>
    <font>
      <b/>
      <sz val="15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3" fillId="0" borderId="0"/>
    <xf numFmtId="165" fontId="18" fillId="0" borderId="0"/>
    <xf numFmtId="165" fontId="19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5" fillId="0" borderId="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17" fillId="0" borderId="0" xfId="0" applyFont="1" applyFill="1"/>
    <xf numFmtId="0" fontId="3" fillId="0" borderId="8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1" fillId="0" borderId="13" xfId="0" applyFont="1" applyFill="1" applyBorder="1"/>
    <xf numFmtId="0" fontId="1" fillId="0" borderId="21" xfId="0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3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8" xfId="0" applyFont="1" applyFill="1" applyBorder="1" applyAlignment="1">
      <alignment horizontal="center"/>
    </xf>
    <xf numFmtId="164" fontId="1" fillId="0" borderId="26" xfId="0" applyNumberFormat="1" applyFont="1" applyFill="1" applyBorder="1" applyAlignment="1">
      <alignment horizontal="center"/>
    </xf>
    <xf numFmtId="0" fontId="1" fillId="0" borderId="25" xfId="0" applyFont="1" applyFill="1" applyBorder="1"/>
    <xf numFmtId="0" fontId="3" fillId="0" borderId="2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8" fillId="0" borderId="0" xfId="0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164" fontId="13" fillId="0" borderId="0" xfId="0" applyNumberFormat="1" applyFont="1" applyFill="1"/>
    <xf numFmtId="0" fontId="1" fillId="0" borderId="15" xfId="0" applyFont="1" applyFill="1" applyBorder="1"/>
    <xf numFmtId="164" fontId="13" fillId="0" borderId="29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8" xfId="0" quotePrefix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30" xfId="0" applyNumberFormat="1" applyFont="1" applyFill="1" applyBorder="1" applyAlignment="1">
      <alignment horizontal="center"/>
    </xf>
    <xf numFmtId="0" fontId="21" fillId="0" borderId="0" xfId="0" applyFont="1"/>
    <xf numFmtId="0" fontId="21" fillId="0" borderId="2" xfId="0" applyFont="1" applyBorder="1" applyAlignment="1">
      <alignment horizontal="center"/>
    </xf>
    <xf numFmtId="0" fontId="21" fillId="0" borderId="2" xfId="0" applyFont="1" applyBorder="1"/>
    <xf numFmtId="0" fontId="22" fillId="6" borderId="2" xfId="0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6" borderId="10" xfId="0" applyFont="1" applyFill="1" applyBorder="1"/>
    <xf numFmtId="0" fontId="7" fillId="0" borderId="31" xfId="0" applyNumberFormat="1" applyFont="1" applyFill="1" applyBorder="1" applyAlignment="1">
      <alignment horizontal="center"/>
    </xf>
    <xf numFmtId="164" fontId="7" fillId="0" borderId="17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24" fillId="9" borderId="33" xfId="0" applyFont="1" applyFill="1" applyBorder="1" applyAlignment="1">
      <alignment horizontal="center"/>
    </xf>
    <xf numFmtId="0" fontId="24" fillId="10" borderId="33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1" fillId="10" borderId="0" xfId="0" applyFont="1" applyFill="1"/>
    <xf numFmtId="0" fontId="24" fillId="9" borderId="1" xfId="0" applyFont="1" applyFill="1" applyBorder="1" applyAlignment="1">
      <alignment horizontal="center"/>
    </xf>
    <xf numFmtId="0" fontId="24" fillId="10" borderId="1" xfId="0" applyFont="1" applyFill="1" applyBorder="1" applyAlignment="1">
      <alignment horizontal="center"/>
    </xf>
    <xf numFmtId="0" fontId="6" fillId="0" borderId="35" xfId="0" applyFont="1" applyFill="1" applyBorder="1"/>
    <xf numFmtId="0" fontId="8" fillId="0" borderId="36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" fillId="9" borderId="35" xfId="0" applyFont="1" applyFill="1" applyBorder="1" applyAlignment="1">
      <alignment horizontal="center"/>
    </xf>
    <xf numFmtId="0" fontId="3" fillId="10" borderId="40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4" fontId="26" fillId="0" borderId="2" xfId="0" applyNumberFormat="1" applyFont="1" applyFill="1" applyBorder="1" applyAlignment="1">
      <alignment horizontal="center"/>
    </xf>
    <xf numFmtId="164" fontId="26" fillId="0" borderId="0" xfId="0" applyNumberFormat="1" applyFont="1" applyFill="1" applyBorder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/>
    </xf>
    <xf numFmtId="164" fontId="26" fillId="0" borderId="36" xfId="0" applyNumberFormat="1" applyFont="1" applyFill="1" applyBorder="1" applyAlignment="1">
      <alignment horizontal="center"/>
    </xf>
    <xf numFmtId="0" fontId="6" fillId="0" borderId="15" xfId="0" applyFont="1" applyFill="1" applyBorder="1"/>
    <xf numFmtId="0" fontId="26" fillId="0" borderId="17" xfId="0" applyFont="1" applyFill="1" applyBorder="1" applyAlignment="1">
      <alignment horizontal="center"/>
    </xf>
    <xf numFmtId="164" fontId="26" fillId="0" borderId="17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1" fillId="9" borderId="15" xfId="0" applyFont="1" applyFill="1" applyBorder="1" applyAlignment="1">
      <alignment horizontal="center"/>
    </xf>
    <xf numFmtId="0" fontId="3" fillId="10" borderId="43" xfId="0" applyFont="1" applyFill="1" applyBorder="1" applyAlignment="1">
      <alignment horizontal="center"/>
    </xf>
    <xf numFmtId="0" fontId="24" fillId="9" borderId="44" xfId="0" applyFont="1" applyFill="1" applyBorder="1" applyAlignment="1">
      <alignment horizontal="center"/>
    </xf>
    <xf numFmtId="0" fontId="24" fillId="10" borderId="45" xfId="0" applyFont="1" applyFill="1" applyBorder="1" applyAlignment="1">
      <alignment horizontal="center"/>
    </xf>
    <xf numFmtId="0" fontId="24" fillId="9" borderId="46" xfId="0" applyFont="1" applyFill="1" applyBorder="1" applyAlignment="1">
      <alignment horizontal="center"/>
    </xf>
    <xf numFmtId="0" fontId="24" fillId="10" borderId="47" xfId="0" applyFont="1" applyFill="1" applyBorder="1" applyAlignment="1">
      <alignment horizontal="center"/>
    </xf>
    <xf numFmtId="0" fontId="28" fillId="6" borderId="15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28" fillId="6" borderId="3" xfId="0" applyFont="1" applyFill="1" applyBorder="1"/>
    <xf numFmtId="0" fontId="3" fillId="10" borderId="4" xfId="0" quotePrefix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" fillId="9" borderId="17" xfId="0" applyFont="1" applyFill="1" applyBorder="1" applyAlignment="1">
      <alignment horizontal="center"/>
    </xf>
    <xf numFmtId="0" fontId="3" fillId="10" borderId="18" xfId="0" quotePrefix="1" applyFont="1" applyFill="1" applyBorder="1" applyAlignment="1">
      <alignment horizontal="center"/>
    </xf>
    <xf numFmtId="0" fontId="7" fillId="0" borderId="36" xfId="0" applyNumberFormat="1" applyFont="1" applyFill="1" applyBorder="1" applyAlignment="1">
      <alignment horizontal="center"/>
    </xf>
    <xf numFmtId="164" fontId="7" fillId="0" borderId="36" xfId="0" applyNumberFormat="1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7" fillId="0" borderId="2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1" fillId="0" borderId="48" xfId="0" applyFont="1" applyFill="1" applyBorder="1"/>
    <xf numFmtId="0" fontId="1" fillId="0" borderId="15" xfId="0" applyFont="1" applyFill="1" applyBorder="1" applyAlignment="1">
      <alignment horizontal="center"/>
    </xf>
    <xf numFmtId="164" fontId="1" fillId="0" borderId="42" xfId="0" applyNumberFormat="1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/>
    </xf>
    <xf numFmtId="0" fontId="24" fillId="6" borderId="33" xfId="0" applyFont="1" applyFill="1" applyBorder="1" applyAlignment="1">
      <alignment horizontal="center"/>
    </xf>
    <xf numFmtId="0" fontId="24" fillId="6" borderId="1" xfId="0" applyFont="1" applyFill="1" applyBorder="1" applyAlignment="1">
      <alignment horizontal="center"/>
    </xf>
    <xf numFmtId="0" fontId="3" fillId="0" borderId="9" xfId="0" quotePrefix="1" applyFont="1" applyFill="1" applyBorder="1" applyAlignment="1">
      <alignment horizontal="center"/>
    </xf>
    <xf numFmtId="0" fontId="24" fillId="6" borderId="50" xfId="0" applyFont="1" applyFill="1" applyBorder="1" applyAlignment="1">
      <alignment horizontal="center"/>
    </xf>
    <xf numFmtId="0" fontId="30" fillId="11" borderId="38" xfId="0" quotePrefix="1" applyFont="1" applyFill="1" applyBorder="1" applyAlignment="1">
      <alignment horizontal="center"/>
    </xf>
    <xf numFmtId="0" fontId="30" fillId="11" borderId="42" xfId="0" quotePrefix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9" fillId="0" borderId="47" xfId="0" applyFont="1" applyBorder="1"/>
    <xf numFmtId="0" fontId="16" fillId="3" borderId="23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0" fillId="8" borderId="7" xfId="0" applyFont="1" applyFill="1" applyBorder="1" applyAlignment="1">
      <alignment horizontal="center"/>
    </xf>
    <xf numFmtId="0" fontId="20" fillId="7" borderId="8" xfId="0" applyFont="1" applyFill="1" applyBorder="1" applyAlignment="1">
      <alignment horizontal="center"/>
    </xf>
    <xf numFmtId="0" fontId="20" fillId="7" borderId="19" xfId="0" applyFont="1" applyFill="1" applyBorder="1" applyAlignment="1">
      <alignment horizontal="center"/>
    </xf>
    <xf numFmtId="0" fontId="20" fillId="7" borderId="10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/>
    </xf>
    <xf numFmtId="0" fontId="20" fillId="8" borderId="19" xfId="0" applyFont="1" applyFill="1" applyBorder="1" applyAlignment="1">
      <alignment horizontal="center"/>
    </xf>
    <xf numFmtId="0" fontId="20" fillId="8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11" fillId="0" borderId="51" xfId="0" applyFont="1" applyBorder="1" applyAlignment="1">
      <alignment horizontal="center" wrapText="1"/>
    </xf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156"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  <dxf>
      <font>
        <condense val="0"/>
        <extend val="0"/>
        <color rgb="FF9C0006"/>
      </font>
    </dxf>
    <dxf>
      <font>
        <color rgb="FF008000"/>
      </font>
    </dxf>
    <dxf>
      <font>
        <color theme="1"/>
      </font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zoomScale="70" workbookViewId="0">
      <selection sqref="A1:H1"/>
    </sheetView>
  </sheetViews>
  <sheetFormatPr baseColWidth="10" defaultRowHeight="18.75"/>
  <cols>
    <col min="1" max="1" width="26.140625" style="1" customWidth="1"/>
    <col min="2" max="2" width="8.85546875" style="18" customWidth="1"/>
    <col min="3" max="3" width="10.7109375" style="18" bestFit="1" customWidth="1"/>
    <col min="4" max="4" width="7.85546875" style="2" bestFit="1" customWidth="1"/>
    <col min="5" max="8" width="6.7109375" style="2" customWidth="1"/>
    <col min="9" max="9" width="11.28515625" style="1" bestFit="1" customWidth="1"/>
    <col min="10" max="10" width="6.140625" style="1" bestFit="1" customWidth="1"/>
    <col min="11" max="11" width="4.42578125" style="1" bestFit="1" customWidth="1"/>
    <col min="12" max="16384" width="11.42578125" style="1"/>
  </cols>
  <sheetData>
    <row r="1" spans="1:11" ht="30.75">
      <c r="A1" s="180" t="s">
        <v>64</v>
      </c>
      <c r="B1" s="180"/>
      <c r="C1" s="180"/>
      <c r="D1" s="180"/>
      <c r="E1" s="180"/>
      <c r="F1" s="180"/>
      <c r="G1" s="180"/>
      <c r="H1" s="180"/>
    </row>
    <row r="2" spans="1:11" ht="23.25">
      <c r="A2" s="184" t="s">
        <v>37</v>
      </c>
      <c r="B2" s="184"/>
      <c r="C2" s="184"/>
      <c r="D2" s="184"/>
      <c r="E2" s="184"/>
      <c r="F2" s="184"/>
      <c r="G2" s="184"/>
      <c r="H2" s="184"/>
    </row>
    <row r="3" spans="1:11" ht="19.5">
      <c r="A3" s="181" t="s">
        <v>7</v>
      </c>
      <c r="B3" s="181"/>
      <c r="C3" s="181"/>
      <c r="D3" s="181"/>
      <c r="E3" s="181"/>
      <c r="F3" s="181"/>
      <c r="G3" s="181"/>
      <c r="H3" s="181"/>
    </row>
    <row r="4" spans="1:11" ht="26.25">
      <c r="A4" s="182" t="s">
        <v>11</v>
      </c>
      <c r="B4" s="182"/>
      <c r="C4" s="182"/>
      <c r="D4" s="182"/>
      <c r="E4" s="182"/>
      <c r="F4" s="182"/>
      <c r="G4" s="182"/>
      <c r="H4" s="182"/>
    </row>
    <row r="5" spans="1:11" ht="19.5">
      <c r="A5" s="183" t="s">
        <v>23</v>
      </c>
      <c r="B5" s="183"/>
      <c r="C5" s="183"/>
      <c r="D5" s="183"/>
      <c r="E5" s="183"/>
      <c r="F5" s="183"/>
      <c r="G5" s="183"/>
      <c r="H5" s="183"/>
    </row>
    <row r="6" spans="1:11" ht="19.5">
      <c r="A6" s="179" t="s">
        <v>65</v>
      </c>
      <c r="B6" s="179"/>
      <c r="C6" s="179"/>
      <c r="D6" s="179"/>
      <c r="E6" s="179"/>
      <c r="F6" s="179"/>
      <c r="G6" s="179"/>
      <c r="H6" s="179"/>
    </row>
    <row r="7" spans="1:11" ht="19.5">
      <c r="A7" s="59"/>
      <c r="B7" s="109"/>
      <c r="C7" s="109"/>
      <c r="D7" s="59"/>
      <c r="E7" s="59"/>
      <c r="F7" s="59"/>
      <c r="G7" s="59"/>
      <c r="H7" s="59"/>
    </row>
    <row r="8" spans="1:11" ht="20.25" thickBot="1">
      <c r="A8" s="185" t="s">
        <v>34</v>
      </c>
      <c r="B8" s="185"/>
      <c r="C8" s="185"/>
      <c r="D8" s="185"/>
      <c r="E8" s="185"/>
      <c r="F8" s="185"/>
      <c r="G8" s="185"/>
      <c r="H8" s="185"/>
    </row>
    <row r="9" spans="1:11" ht="19.5" thickBot="1">
      <c r="A9" s="176" t="s">
        <v>24</v>
      </c>
      <c r="B9" s="177"/>
      <c r="C9" s="177"/>
      <c r="D9" s="177"/>
      <c r="E9" s="177"/>
      <c r="F9" s="177"/>
      <c r="G9" s="177"/>
      <c r="H9" s="177"/>
      <c r="I9" s="94" t="s">
        <v>57</v>
      </c>
      <c r="J9" s="95" t="s">
        <v>59</v>
      </c>
    </row>
    <row r="10" spans="1:11" s="3" customFormat="1" ht="20.25" thickBot="1">
      <c r="A10" s="4" t="s">
        <v>0</v>
      </c>
      <c r="B10" s="110" t="s">
        <v>9</v>
      </c>
      <c r="C10" s="110" t="s">
        <v>19</v>
      </c>
      <c r="D10" s="4" t="s">
        <v>1</v>
      </c>
      <c r="E10" s="4" t="s">
        <v>2</v>
      </c>
      <c r="F10" s="13" t="s">
        <v>3</v>
      </c>
      <c r="G10" s="12" t="s">
        <v>4</v>
      </c>
      <c r="H10" s="92" t="s">
        <v>5</v>
      </c>
      <c r="I10" s="98" t="s">
        <v>58</v>
      </c>
      <c r="J10" s="99" t="s">
        <v>60</v>
      </c>
    </row>
    <row r="11" spans="1:11" ht="20.25" thickBot="1">
      <c r="A11" s="100" t="s">
        <v>87</v>
      </c>
      <c r="B11" s="111" t="s">
        <v>90</v>
      </c>
      <c r="C11" s="114">
        <v>37238</v>
      </c>
      <c r="D11" s="101">
        <v>15</v>
      </c>
      <c r="E11" s="102">
        <f>5+4+5+4+5+4+4+4+4</f>
        <v>39</v>
      </c>
      <c r="F11" s="103">
        <f>5+4+4+9+5+3+4+3+4</f>
        <v>41</v>
      </c>
      <c r="G11" s="104">
        <f t="shared" ref="G11:G16" si="0">SUM(E11:F11)</f>
        <v>80</v>
      </c>
      <c r="H11" s="107">
        <f t="shared" ref="H11:H16" si="1">SUM(G11-D11)</f>
        <v>65</v>
      </c>
      <c r="I11" s="105">
        <v>71</v>
      </c>
      <c r="J11" s="106">
        <f t="shared" ref="J11:J16" si="2">(H11-I11)</f>
        <v>-6</v>
      </c>
      <c r="K11" s="19" t="s">
        <v>61</v>
      </c>
    </row>
    <row r="12" spans="1:11" ht="20.25" thickBot="1">
      <c r="A12" s="24" t="s">
        <v>234</v>
      </c>
      <c r="B12" s="112" t="s">
        <v>235</v>
      </c>
      <c r="C12" s="114">
        <v>36734</v>
      </c>
      <c r="D12" s="26">
        <v>26</v>
      </c>
      <c r="E12" s="22">
        <v>54</v>
      </c>
      <c r="F12" s="27">
        <v>41</v>
      </c>
      <c r="G12" s="15">
        <f t="shared" si="0"/>
        <v>95</v>
      </c>
      <c r="H12" s="108">
        <f t="shared" si="1"/>
        <v>69</v>
      </c>
      <c r="I12" s="93">
        <v>71</v>
      </c>
      <c r="J12" s="96">
        <f t="shared" si="2"/>
        <v>-2</v>
      </c>
      <c r="K12" s="19" t="s">
        <v>62</v>
      </c>
    </row>
    <row r="13" spans="1:11" ht="19.5">
      <c r="A13" s="24" t="s">
        <v>211</v>
      </c>
      <c r="B13" s="112" t="s">
        <v>190</v>
      </c>
      <c r="C13" s="114">
        <v>36383</v>
      </c>
      <c r="D13" s="26">
        <v>0</v>
      </c>
      <c r="E13" s="22">
        <v>33</v>
      </c>
      <c r="F13" s="27">
        <v>36</v>
      </c>
      <c r="G13" s="15">
        <f t="shared" si="0"/>
        <v>69</v>
      </c>
      <c r="H13" s="108">
        <f t="shared" si="1"/>
        <v>69</v>
      </c>
      <c r="I13" s="93">
        <v>70</v>
      </c>
      <c r="J13" s="96">
        <f t="shared" si="2"/>
        <v>-1</v>
      </c>
    </row>
    <row r="14" spans="1:11" ht="19.5">
      <c r="A14" s="24" t="s">
        <v>88</v>
      </c>
      <c r="B14" s="112" t="s">
        <v>90</v>
      </c>
      <c r="C14" s="114">
        <v>36646</v>
      </c>
      <c r="D14" s="26">
        <v>12</v>
      </c>
      <c r="E14" s="22">
        <f>4+5+4+4+6+4+4+5+5</f>
        <v>41</v>
      </c>
      <c r="F14" s="27">
        <f>4+5+5+4+6+4+5+4+5</f>
        <v>42</v>
      </c>
      <c r="G14" s="15">
        <f t="shared" si="0"/>
        <v>83</v>
      </c>
      <c r="H14" s="108">
        <f t="shared" si="1"/>
        <v>71</v>
      </c>
      <c r="I14" s="93">
        <v>71</v>
      </c>
      <c r="J14" s="96">
        <f t="shared" si="2"/>
        <v>0</v>
      </c>
    </row>
    <row r="15" spans="1:11" ht="19.5">
      <c r="A15" s="24" t="s">
        <v>89</v>
      </c>
      <c r="B15" s="112" t="s">
        <v>90</v>
      </c>
      <c r="C15" s="114">
        <v>37164</v>
      </c>
      <c r="D15" s="26">
        <v>-3</v>
      </c>
      <c r="E15" s="22">
        <f>5+4+5+4+5+4+4+6+5</f>
        <v>42</v>
      </c>
      <c r="F15" s="27">
        <f>4+4+3+7+5+3+3+5+3</f>
        <v>37</v>
      </c>
      <c r="G15" s="15">
        <f t="shared" si="0"/>
        <v>79</v>
      </c>
      <c r="H15" s="108">
        <f t="shared" si="1"/>
        <v>82</v>
      </c>
      <c r="I15" s="93">
        <v>71</v>
      </c>
      <c r="J15" s="96">
        <f t="shared" si="2"/>
        <v>11</v>
      </c>
    </row>
    <row r="16" spans="1:11" ht="19.5">
      <c r="A16" s="24" t="s">
        <v>91</v>
      </c>
      <c r="B16" s="112" t="s">
        <v>90</v>
      </c>
      <c r="C16" s="114">
        <v>37749</v>
      </c>
      <c r="D16" s="26">
        <v>36</v>
      </c>
      <c r="E16" s="22">
        <f>7+6+6+7+10+6+5+9+6</f>
        <v>62</v>
      </c>
      <c r="F16" s="27">
        <f>12+5+7+7+7+4+8+8+6</f>
        <v>64</v>
      </c>
      <c r="G16" s="15">
        <f t="shared" si="0"/>
        <v>126</v>
      </c>
      <c r="H16" s="108">
        <f t="shared" si="1"/>
        <v>90</v>
      </c>
      <c r="I16" s="93">
        <v>71</v>
      </c>
      <c r="J16" s="96">
        <f t="shared" si="2"/>
        <v>19</v>
      </c>
    </row>
    <row r="17" spans="1:11" ht="19.5">
      <c r="A17" s="140" t="s">
        <v>69</v>
      </c>
      <c r="B17" s="112" t="s">
        <v>74</v>
      </c>
      <c r="C17" s="114">
        <v>37079</v>
      </c>
      <c r="D17" s="26" t="s">
        <v>5</v>
      </c>
      <c r="E17" s="22" t="s">
        <v>257</v>
      </c>
      <c r="F17" s="22" t="s">
        <v>258</v>
      </c>
      <c r="G17" s="137" t="s">
        <v>10</v>
      </c>
      <c r="H17" s="138" t="s">
        <v>10</v>
      </c>
      <c r="I17" s="139" t="s">
        <v>10</v>
      </c>
      <c r="J17" s="141" t="s">
        <v>10</v>
      </c>
    </row>
    <row r="18" spans="1:11" ht="19.5">
      <c r="A18" s="140" t="s">
        <v>268</v>
      </c>
      <c r="B18" s="112" t="s">
        <v>190</v>
      </c>
      <c r="C18" s="114">
        <v>36513</v>
      </c>
      <c r="D18" s="26" t="s">
        <v>5</v>
      </c>
      <c r="E18" s="22" t="s">
        <v>257</v>
      </c>
      <c r="F18" s="22" t="s">
        <v>258</v>
      </c>
      <c r="G18" s="137" t="s">
        <v>10</v>
      </c>
      <c r="H18" s="138" t="s">
        <v>10</v>
      </c>
      <c r="I18" s="139" t="s">
        <v>10</v>
      </c>
      <c r="J18" s="141" t="s">
        <v>10</v>
      </c>
    </row>
    <row r="19" spans="1:11" ht="19.5">
      <c r="A19" s="140" t="s">
        <v>269</v>
      </c>
      <c r="B19" s="112" t="s">
        <v>190</v>
      </c>
      <c r="C19" s="114">
        <v>36780</v>
      </c>
      <c r="D19" s="26" t="s">
        <v>5</v>
      </c>
      <c r="E19" s="22" t="s">
        <v>257</v>
      </c>
      <c r="F19" s="22" t="s">
        <v>258</v>
      </c>
      <c r="G19" s="137" t="s">
        <v>10</v>
      </c>
      <c r="H19" s="138" t="s">
        <v>10</v>
      </c>
      <c r="I19" s="139" t="s">
        <v>10</v>
      </c>
      <c r="J19" s="141" t="s">
        <v>10</v>
      </c>
    </row>
    <row r="20" spans="1:11" ht="19.5">
      <c r="A20" s="140" t="s">
        <v>271</v>
      </c>
      <c r="B20" s="112" t="s">
        <v>74</v>
      </c>
      <c r="C20" s="114">
        <v>37075</v>
      </c>
      <c r="D20" s="26" t="s">
        <v>5</v>
      </c>
      <c r="E20" s="22" t="s">
        <v>257</v>
      </c>
      <c r="F20" s="22" t="s">
        <v>258</v>
      </c>
      <c r="G20" s="137" t="s">
        <v>10</v>
      </c>
      <c r="H20" s="138" t="s">
        <v>10</v>
      </c>
      <c r="I20" s="139" t="s">
        <v>10</v>
      </c>
      <c r="J20" s="141" t="s">
        <v>10</v>
      </c>
    </row>
    <row r="21" spans="1:11" ht="20.25" thickBot="1">
      <c r="A21" s="133" t="s">
        <v>272</v>
      </c>
      <c r="B21" s="120" t="s">
        <v>163</v>
      </c>
      <c r="C21" s="121">
        <v>37110</v>
      </c>
      <c r="D21" s="122" t="s">
        <v>5</v>
      </c>
      <c r="E21" s="123" t="s">
        <v>257</v>
      </c>
      <c r="F21" s="123" t="s">
        <v>258</v>
      </c>
      <c r="G21" s="142" t="s">
        <v>10</v>
      </c>
      <c r="H21" s="143" t="s">
        <v>10</v>
      </c>
      <c r="I21" s="144" t="s">
        <v>10</v>
      </c>
      <c r="J21" s="145" t="s">
        <v>10</v>
      </c>
    </row>
    <row r="22" spans="1:11" ht="19.5" thickBot="1">
      <c r="A22" s="63"/>
      <c r="B22" s="113"/>
      <c r="C22" s="115"/>
      <c r="D22" s="64"/>
      <c r="E22" s="62"/>
      <c r="F22" s="62"/>
      <c r="G22" s="1"/>
      <c r="H22" s="1"/>
      <c r="J22" s="97"/>
    </row>
    <row r="23" spans="1:11" ht="20.25" thickBot="1">
      <c r="A23" s="186" t="s">
        <v>27</v>
      </c>
      <c r="B23" s="187"/>
      <c r="C23" s="187"/>
      <c r="D23" s="187"/>
      <c r="E23" s="187"/>
      <c r="F23" s="187"/>
      <c r="G23" s="187"/>
      <c r="H23" s="188"/>
      <c r="J23" s="97"/>
    </row>
    <row r="24" spans="1:11" ht="19.5" thickBot="1">
      <c r="A24" s="176" t="s">
        <v>40</v>
      </c>
      <c r="B24" s="177"/>
      <c r="C24" s="177"/>
      <c r="D24" s="177"/>
      <c r="E24" s="177"/>
      <c r="F24" s="177"/>
      <c r="G24" s="177"/>
      <c r="H24" s="178"/>
      <c r="I24" s="94" t="s">
        <v>57</v>
      </c>
      <c r="J24" s="95" t="s">
        <v>59</v>
      </c>
    </row>
    <row r="25" spans="1:11" ht="20.25" thickBot="1">
      <c r="A25" s="4" t="s">
        <v>6</v>
      </c>
      <c r="B25" s="110" t="s">
        <v>9</v>
      </c>
      <c r="C25" s="110" t="s">
        <v>19</v>
      </c>
      <c r="D25" s="4" t="s">
        <v>1</v>
      </c>
      <c r="E25" s="4" t="s">
        <v>2</v>
      </c>
      <c r="F25" s="13" t="s">
        <v>3</v>
      </c>
      <c r="G25" s="12" t="s">
        <v>4</v>
      </c>
      <c r="H25" s="14" t="s">
        <v>5</v>
      </c>
      <c r="I25" s="98" t="s">
        <v>58</v>
      </c>
      <c r="J25" s="99" t="s">
        <v>60</v>
      </c>
    </row>
    <row r="26" spans="1:11" ht="20.25" thickBot="1">
      <c r="A26" s="100" t="s">
        <v>162</v>
      </c>
      <c r="B26" s="111" t="s">
        <v>163</v>
      </c>
      <c r="C26" s="118">
        <v>37495</v>
      </c>
      <c r="D26" s="101">
        <v>5</v>
      </c>
      <c r="E26" s="102">
        <f>4+5+4+3+4+5+2+4+5</f>
        <v>36</v>
      </c>
      <c r="F26" s="103">
        <f>5+4+3+4+4+3+5+6+6</f>
        <v>40</v>
      </c>
      <c r="G26" s="104">
        <f>SUM(E26:F26)</f>
        <v>76</v>
      </c>
      <c r="H26" s="107">
        <f>SUM(G26-D26)</f>
        <v>71</v>
      </c>
      <c r="I26" s="105">
        <v>73</v>
      </c>
      <c r="J26" s="106">
        <f>(H26-I26)</f>
        <v>-2</v>
      </c>
      <c r="K26" s="88" t="s">
        <v>61</v>
      </c>
    </row>
    <row r="27" spans="1:11" ht="20.25" thickBot="1">
      <c r="A27" s="24" t="s">
        <v>71</v>
      </c>
      <c r="B27" s="112" t="s">
        <v>74</v>
      </c>
      <c r="C27" s="114">
        <v>37876</v>
      </c>
      <c r="D27" s="26">
        <v>11</v>
      </c>
      <c r="E27" s="22">
        <f>6+4+4+5+3+5+5+2+4</f>
        <v>38</v>
      </c>
      <c r="F27" s="27">
        <f>5+5+3+6+3+7+5+6+5</f>
        <v>45</v>
      </c>
      <c r="G27" s="15">
        <f>SUM(E27:F27)</f>
        <v>83</v>
      </c>
      <c r="H27" s="108">
        <f>SUM(G27-D27)</f>
        <v>72</v>
      </c>
      <c r="I27" s="93">
        <v>71</v>
      </c>
      <c r="J27" s="96">
        <f>(H27-I27)</f>
        <v>1</v>
      </c>
      <c r="K27" s="88" t="s">
        <v>62</v>
      </c>
    </row>
    <row r="28" spans="1:11" ht="19.5">
      <c r="A28" s="24" t="s">
        <v>119</v>
      </c>
      <c r="B28" s="112" t="s">
        <v>161</v>
      </c>
      <c r="C28" s="114">
        <v>38257</v>
      </c>
      <c r="D28" s="26">
        <v>12</v>
      </c>
      <c r="E28" s="22">
        <v>43</v>
      </c>
      <c r="F28" s="27">
        <v>44</v>
      </c>
      <c r="G28" s="15">
        <f>SUM(E28:F28)</f>
        <v>87</v>
      </c>
      <c r="H28" s="108">
        <f>SUM(G28-D28)</f>
        <v>75</v>
      </c>
      <c r="I28" s="93">
        <v>71</v>
      </c>
      <c r="J28" s="96">
        <f>(H28-I28)</f>
        <v>4</v>
      </c>
    </row>
    <row r="29" spans="1:11" ht="19.5">
      <c r="A29" s="24" t="s">
        <v>120</v>
      </c>
      <c r="B29" s="112" t="s">
        <v>161</v>
      </c>
      <c r="C29" s="114">
        <v>38776</v>
      </c>
      <c r="D29" s="26">
        <v>5</v>
      </c>
      <c r="E29" s="22">
        <v>39</v>
      </c>
      <c r="F29" s="27">
        <v>42</v>
      </c>
      <c r="G29" s="15">
        <f>SUM(E29:F29)</f>
        <v>81</v>
      </c>
      <c r="H29" s="108">
        <f>SUM(G29-D29)</f>
        <v>76</v>
      </c>
      <c r="I29" s="93">
        <v>72</v>
      </c>
      <c r="J29" s="96">
        <f>(H29-I29)</f>
        <v>4</v>
      </c>
    </row>
    <row r="30" spans="1:11" ht="19.5">
      <c r="A30" s="140" t="s">
        <v>266</v>
      </c>
      <c r="B30" s="112" t="s">
        <v>74</v>
      </c>
      <c r="C30" s="114">
        <v>35715</v>
      </c>
      <c r="D30" s="26" t="s">
        <v>5</v>
      </c>
      <c r="E30" s="22" t="s">
        <v>257</v>
      </c>
      <c r="F30" s="22" t="s">
        <v>258</v>
      </c>
      <c r="G30" s="137" t="s">
        <v>10</v>
      </c>
      <c r="H30" s="138" t="s">
        <v>10</v>
      </c>
      <c r="I30" s="139" t="s">
        <v>10</v>
      </c>
      <c r="J30" s="141" t="s">
        <v>10</v>
      </c>
    </row>
    <row r="31" spans="1:11" ht="19.5">
      <c r="A31" s="140" t="s">
        <v>267</v>
      </c>
      <c r="B31" s="112" t="s">
        <v>161</v>
      </c>
      <c r="C31" s="114">
        <v>36413</v>
      </c>
      <c r="D31" s="26" t="s">
        <v>5</v>
      </c>
      <c r="E31" s="22" t="s">
        <v>257</v>
      </c>
      <c r="F31" s="22" t="s">
        <v>258</v>
      </c>
      <c r="G31" s="137" t="s">
        <v>10</v>
      </c>
      <c r="H31" s="138" t="s">
        <v>10</v>
      </c>
      <c r="I31" s="139" t="s">
        <v>10</v>
      </c>
      <c r="J31" s="141" t="s">
        <v>10</v>
      </c>
    </row>
    <row r="32" spans="1:11" ht="20.25" thickBot="1">
      <c r="A32" s="133" t="s">
        <v>270</v>
      </c>
      <c r="B32" s="120" t="s">
        <v>161</v>
      </c>
      <c r="C32" s="121">
        <v>36809</v>
      </c>
      <c r="D32" s="122" t="s">
        <v>5</v>
      </c>
      <c r="E32" s="123" t="s">
        <v>257</v>
      </c>
      <c r="F32" s="123" t="s">
        <v>258</v>
      </c>
      <c r="G32" s="142" t="s">
        <v>10</v>
      </c>
      <c r="H32" s="143" t="s">
        <v>10</v>
      </c>
      <c r="I32" s="144" t="s">
        <v>10</v>
      </c>
      <c r="J32" s="145" t="s">
        <v>10</v>
      </c>
    </row>
  </sheetData>
  <sortState ref="A22:J25">
    <sortCondition ref="J22:J25"/>
  </sortState>
  <mergeCells count="10">
    <mergeCell ref="A24:H24"/>
    <mergeCell ref="A6:H6"/>
    <mergeCell ref="A9:H9"/>
    <mergeCell ref="A1:H1"/>
    <mergeCell ref="A3:H3"/>
    <mergeCell ref="A4:H4"/>
    <mergeCell ref="A5:H5"/>
    <mergeCell ref="A2:H2"/>
    <mergeCell ref="A8:H8"/>
    <mergeCell ref="A23:H23"/>
  </mergeCells>
  <phoneticPr fontId="0" type="noConversion"/>
  <conditionalFormatting sqref="J26:J30 J11:J21">
    <cfRule type="cellIs" dxfId="155" priority="184" operator="equal">
      <formula>0</formula>
    </cfRule>
    <cfRule type="cellIs" dxfId="154" priority="185" operator="lessThan">
      <formula>0</formula>
    </cfRule>
    <cfRule type="cellIs" dxfId="153" priority="186" operator="greaterThan">
      <formula>0</formula>
    </cfRule>
  </conditionalFormatting>
  <conditionalFormatting sqref="J30">
    <cfRule type="cellIs" dxfId="152" priority="70" operator="equal">
      <formula>0</formula>
    </cfRule>
    <cfRule type="cellIs" dxfId="151" priority="71" operator="lessThan">
      <formula>0</formula>
    </cfRule>
    <cfRule type="cellIs" dxfId="150" priority="72" operator="greaterThan">
      <formula>0</formula>
    </cfRule>
  </conditionalFormatting>
  <conditionalFormatting sqref="J31">
    <cfRule type="cellIs" dxfId="149" priority="67" operator="equal">
      <formula>0</formula>
    </cfRule>
    <cfRule type="cellIs" dxfId="148" priority="68" operator="lessThan">
      <formula>0</formula>
    </cfRule>
    <cfRule type="cellIs" dxfId="147" priority="69" operator="greaterThan">
      <formula>0</formula>
    </cfRule>
  </conditionalFormatting>
  <conditionalFormatting sqref="J31">
    <cfRule type="cellIs" dxfId="146" priority="64" operator="equal">
      <formula>0</formula>
    </cfRule>
    <cfRule type="cellIs" dxfId="145" priority="65" operator="lessThan">
      <formula>0</formula>
    </cfRule>
    <cfRule type="cellIs" dxfId="144" priority="66" operator="greaterThan">
      <formula>0</formula>
    </cfRule>
  </conditionalFormatting>
  <conditionalFormatting sqref="J31">
    <cfRule type="cellIs" dxfId="143" priority="61" operator="equal">
      <formula>0</formula>
    </cfRule>
    <cfRule type="cellIs" dxfId="142" priority="62" operator="lessThan">
      <formula>0</formula>
    </cfRule>
    <cfRule type="cellIs" dxfId="141" priority="63" operator="greaterThan">
      <formula>0</formula>
    </cfRule>
  </conditionalFormatting>
  <conditionalFormatting sqref="J31">
    <cfRule type="cellIs" dxfId="140" priority="58" operator="equal">
      <formula>0</formula>
    </cfRule>
    <cfRule type="cellIs" dxfId="139" priority="59" operator="lessThan">
      <formula>0</formula>
    </cfRule>
    <cfRule type="cellIs" dxfId="138" priority="60" operator="greaterThan">
      <formula>0</formula>
    </cfRule>
  </conditionalFormatting>
  <conditionalFormatting sqref="J17">
    <cfRule type="cellIs" dxfId="137" priority="55" operator="equal">
      <formula>0</formula>
    </cfRule>
    <cfRule type="cellIs" dxfId="136" priority="56" operator="lessThan">
      <formula>0</formula>
    </cfRule>
    <cfRule type="cellIs" dxfId="135" priority="57" operator="greaterThan">
      <formula>0</formula>
    </cfRule>
  </conditionalFormatting>
  <conditionalFormatting sqref="J18">
    <cfRule type="cellIs" dxfId="134" priority="52" operator="equal">
      <formula>0</formula>
    </cfRule>
    <cfRule type="cellIs" dxfId="133" priority="53" operator="lessThan">
      <formula>0</formula>
    </cfRule>
    <cfRule type="cellIs" dxfId="132" priority="54" operator="greaterThan">
      <formula>0</formula>
    </cfRule>
  </conditionalFormatting>
  <conditionalFormatting sqref="J19">
    <cfRule type="cellIs" dxfId="131" priority="49" operator="equal">
      <formula>0</formula>
    </cfRule>
    <cfRule type="cellIs" dxfId="130" priority="50" operator="lessThan">
      <formula>0</formula>
    </cfRule>
    <cfRule type="cellIs" dxfId="129" priority="51" operator="greaterThan">
      <formula>0</formula>
    </cfRule>
  </conditionalFormatting>
  <conditionalFormatting sqref="J20">
    <cfRule type="cellIs" dxfId="128" priority="46" operator="equal">
      <formula>0</formula>
    </cfRule>
    <cfRule type="cellIs" dxfId="127" priority="47" operator="lessThan">
      <formula>0</formula>
    </cfRule>
    <cfRule type="cellIs" dxfId="126" priority="48" operator="greaterThan">
      <formula>0</formula>
    </cfRule>
  </conditionalFormatting>
  <conditionalFormatting sqref="J21">
    <cfRule type="cellIs" dxfId="125" priority="43" operator="equal">
      <formula>0</formula>
    </cfRule>
    <cfRule type="cellIs" dxfId="124" priority="44" operator="lessThan">
      <formula>0</formula>
    </cfRule>
    <cfRule type="cellIs" dxfId="123" priority="45" operator="greaterThan">
      <formula>0</formula>
    </cfRule>
  </conditionalFormatting>
  <conditionalFormatting sqref="J18:J21">
    <cfRule type="cellIs" dxfId="122" priority="40" operator="equal">
      <formula>0</formula>
    </cfRule>
    <cfRule type="cellIs" dxfId="121" priority="41" operator="lessThan">
      <formula>0</formula>
    </cfRule>
    <cfRule type="cellIs" dxfId="120" priority="42" operator="greaterThan">
      <formula>0</formula>
    </cfRule>
  </conditionalFormatting>
  <conditionalFormatting sqref="J31">
    <cfRule type="cellIs" dxfId="119" priority="37" operator="equal">
      <formula>0</formula>
    </cfRule>
    <cfRule type="cellIs" dxfId="118" priority="38" operator="lessThan">
      <formula>0</formula>
    </cfRule>
    <cfRule type="cellIs" dxfId="117" priority="39" operator="greaterThan">
      <formula>0</formula>
    </cfRule>
  </conditionalFormatting>
  <conditionalFormatting sqref="J31">
    <cfRule type="cellIs" dxfId="116" priority="34" operator="equal">
      <formula>0</formula>
    </cfRule>
    <cfRule type="cellIs" dxfId="115" priority="35" operator="lessThan">
      <formula>0</formula>
    </cfRule>
    <cfRule type="cellIs" dxfId="114" priority="36" operator="greaterThan">
      <formula>0</formula>
    </cfRule>
  </conditionalFormatting>
  <conditionalFormatting sqref="J32">
    <cfRule type="cellIs" dxfId="113" priority="31" operator="equal">
      <formula>0</formula>
    </cfRule>
    <cfRule type="cellIs" dxfId="112" priority="32" operator="lessThan">
      <formula>0</formula>
    </cfRule>
    <cfRule type="cellIs" dxfId="111" priority="33" operator="greaterThan">
      <formula>0</formula>
    </cfRule>
  </conditionalFormatting>
  <conditionalFormatting sqref="J32">
    <cfRule type="cellIs" dxfId="110" priority="28" operator="equal">
      <formula>0</formula>
    </cfRule>
    <cfRule type="cellIs" dxfId="109" priority="29" operator="lessThan">
      <formula>0</formula>
    </cfRule>
    <cfRule type="cellIs" dxfId="108" priority="30" operator="greaterThan">
      <formula>0</formula>
    </cfRule>
  </conditionalFormatting>
  <conditionalFormatting sqref="J32">
    <cfRule type="cellIs" dxfId="107" priority="25" operator="equal">
      <formula>0</formula>
    </cfRule>
    <cfRule type="cellIs" dxfId="106" priority="26" operator="lessThan">
      <formula>0</formula>
    </cfRule>
    <cfRule type="cellIs" dxfId="105" priority="27" operator="greaterThan">
      <formula>0</formula>
    </cfRule>
  </conditionalFormatting>
  <conditionalFormatting sqref="J32">
    <cfRule type="cellIs" dxfId="104" priority="22" operator="equal">
      <formula>0</formula>
    </cfRule>
    <cfRule type="cellIs" dxfId="103" priority="23" operator="lessThan">
      <formula>0</formula>
    </cfRule>
    <cfRule type="cellIs" dxfId="102" priority="24" operator="greaterThan">
      <formula>0</formula>
    </cfRule>
  </conditionalFormatting>
  <conditionalFormatting sqref="J32">
    <cfRule type="cellIs" dxfId="101" priority="19" operator="equal">
      <formula>0</formula>
    </cfRule>
    <cfRule type="cellIs" dxfId="100" priority="20" operator="lessThan">
      <formula>0</formula>
    </cfRule>
    <cfRule type="cellIs" dxfId="99" priority="21" operator="greaterThan">
      <formula>0</formula>
    </cfRule>
  </conditionalFormatting>
  <conditionalFormatting sqref="J32">
    <cfRule type="cellIs" dxfId="98" priority="16" operator="equal">
      <formula>0</formula>
    </cfRule>
    <cfRule type="cellIs" dxfId="97" priority="17" operator="lessThan">
      <formula>0</formula>
    </cfRule>
    <cfRule type="cellIs" dxfId="96" priority="18" operator="greaterThan">
      <formula>0</formula>
    </cfRule>
  </conditionalFormatting>
  <conditionalFormatting sqref="J32">
    <cfRule type="cellIs" dxfId="95" priority="13" operator="equal">
      <formula>0</formula>
    </cfRule>
    <cfRule type="cellIs" dxfId="94" priority="14" operator="lessThan">
      <formula>0</formula>
    </cfRule>
    <cfRule type="cellIs" dxfId="93" priority="15" operator="greaterThan">
      <formula>0</formula>
    </cfRule>
  </conditionalFormatting>
  <conditionalFormatting sqref="J32">
    <cfRule type="cellIs" dxfId="92" priority="10" operator="equal">
      <formula>0</formula>
    </cfRule>
    <cfRule type="cellIs" dxfId="91" priority="11" operator="lessThan">
      <formula>0</formula>
    </cfRule>
    <cfRule type="cellIs" dxfId="90" priority="12" operator="greaterThan">
      <formula>0</formula>
    </cfRule>
  </conditionalFormatting>
  <conditionalFormatting sqref="J32">
    <cfRule type="cellIs" dxfId="89" priority="7" operator="equal">
      <formula>0</formula>
    </cfRule>
    <cfRule type="cellIs" dxfId="88" priority="8" operator="lessThan">
      <formula>0</formula>
    </cfRule>
    <cfRule type="cellIs" dxfId="87" priority="9" operator="greaterThan">
      <formula>0</formula>
    </cfRule>
  </conditionalFormatting>
  <conditionalFormatting sqref="J32">
    <cfRule type="cellIs" dxfId="86" priority="4" operator="equal">
      <formula>0</formula>
    </cfRule>
    <cfRule type="cellIs" dxfId="85" priority="5" operator="lessThan">
      <formula>0</formula>
    </cfRule>
    <cfRule type="cellIs" dxfId="84" priority="6" operator="greaterThan">
      <formula>0</formula>
    </cfRule>
  </conditionalFormatting>
  <conditionalFormatting sqref="J32">
    <cfRule type="cellIs" dxfId="83" priority="1" operator="equal">
      <formula>0</formula>
    </cfRule>
    <cfRule type="cellIs" dxfId="82" priority="2" operator="lessThan">
      <formula>0</formula>
    </cfRule>
    <cfRule type="cellIs" dxfId="81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K30"/>
  <sheetViews>
    <sheetView zoomScale="70" zoomScaleNormal="70" workbookViewId="0">
      <selection sqref="A1:H1"/>
    </sheetView>
  </sheetViews>
  <sheetFormatPr baseColWidth="10" defaultRowHeight="19.5"/>
  <cols>
    <col min="1" max="1" width="33.42578125" style="7" customWidth="1"/>
    <col min="2" max="2" width="8.85546875" style="171" bestFit="1" customWidth="1"/>
    <col min="3" max="3" width="11.140625" style="67" customWidth="1"/>
    <col min="4" max="6" width="4.85546875" style="7" bestFit="1" customWidth="1"/>
    <col min="7" max="7" width="10.28515625" style="7" bestFit="1" customWidth="1"/>
    <col min="8" max="8" width="4.85546875" style="21" bestFit="1" customWidth="1"/>
    <col min="9" max="9" width="6.140625" style="21" bestFit="1" customWidth="1"/>
    <col min="10" max="10" width="10.140625" style="171" bestFit="1" customWidth="1"/>
    <col min="11" max="11" width="4.42578125" style="7" bestFit="1" customWidth="1"/>
    <col min="12" max="16384" width="11.42578125" style="7"/>
  </cols>
  <sheetData>
    <row r="1" spans="1:11">
      <c r="A1" s="201" t="str">
        <f>JUV!A1</f>
        <v>3° TORNEO VIRTUAL</v>
      </c>
      <c r="B1" s="201"/>
      <c r="C1" s="201"/>
      <c r="D1" s="201"/>
      <c r="E1" s="201"/>
      <c r="F1" s="201"/>
      <c r="G1" s="201"/>
      <c r="H1" s="201"/>
      <c r="I1" s="134"/>
      <c r="J1" s="172"/>
      <c r="K1" s="28"/>
    </row>
    <row r="2" spans="1:11">
      <c r="A2" s="202" t="str">
        <f>JUV!A2</f>
        <v>CLUBES DE LA FEDERACION</v>
      </c>
      <c r="B2" s="202"/>
      <c r="C2" s="202"/>
      <c r="D2" s="202"/>
      <c r="E2" s="202"/>
      <c r="F2" s="202"/>
      <c r="G2" s="202"/>
      <c r="H2" s="202"/>
      <c r="I2" s="135"/>
      <c r="J2" s="172"/>
      <c r="K2" s="28"/>
    </row>
    <row r="3" spans="1:11">
      <c r="A3" s="201" t="s">
        <v>7</v>
      </c>
      <c r="B3" s="201"/>
      <c r="C3" s="201"/>
      <c r="D3" s="201"/>
      <c r="E3" s="201"/>
      <c r="F3" s="201"/>
      <c r="G3" s="201"/>
      <c r="H3" s="201"/>
      <c r="I3" s="134"/>
      <c r="J3" s="172"/>
      <c r="K3" s="28"/>
    </row>
    <row r="4" spans="1:11">
      <c r="A4" s="203" t="s">
        <v>11</v>
      </c>
      <c r="B4" s="203"/>
      <c r="C4" s="203"/>
      <c r="D4" s="203"/>
      <c r="E4" s="203"/>
      <c r="F4" s="203"/>
      <c r="G4" s="203"/>
      <c r="H4" s="203"/>
      <c r="I4" s="136"/>
      <c r="J4" s="172"/>
      <c r="K4" s="28"/>
    </row>
    <row r="5" spans="1:11">
      <c r="A5" s="201" t="str">
        <f>JUV!A5</f>
        <v>DOS VUELTAS DE 9 HOYOS MEDAL PLAY</v>
      </c>
      <c r="B5" s="201"/>
      <c r="C5" s="201"/>
      <c r="D5" s="201"/>
      <c r="E5" s="201"/>
      <c r="F5" s="201"/>
      <c r="G5" s="201"/>
      <c r="H5" s="201"/>
      <c r="I5" s="134"/>
      <c r="J5" s="172"/>
      <c r="K5" s="28"/>
    </row>
    <row r="6" spans="1:11" ht="20.25" thickBot="1">
      <c r="A6" s="201" t="str">
        <f>JUV!A6</f>
        <v>07 AL 11 DE NOVIEMBRE DE 2020</v>
      </c>
      <c r="B6" s="201"/>
      <c r="C6" s="201"/>
      <c r="D6" s="201"/>
      <c r="E6" s="201"/>
      <c r="F6" s="201"/>
      <c r="G6" s="201"/>
      <c r="H6" s="201"/>
      <c r="J6" s="172"/>
      <c r="K6" s="28"/>
    </row>
    <row r="7" spans="1:11" ht="20.25" thickBot="1">
      <c r="A7" s="204" t="s">
        <v>35</v>
      </c>
      <c r="B7" s="205"/>
      <c r="C7" s="205"/>
      <c r="D7" s="205"/>
      <c r="E7" s="205"/>
      <c r="F7" s="205"/>
      <c r="G7" s="205"/>
      <c r="H7" s="206"/>
      <c r="I7" s="162" t="s">
        <v>59</v>
      </c>
      <c r="J7" s="172"/>
      <c r="K7" s="28"/>
    </row>
    <row r="8" spans="1:11" ht="20.25" thickBot="1">
      <c r="A8" s="4" t="s">
        <v>6</v>
      </c>
      <c r="B8" s="168" t="s">
        <v>9</v>
      </c>
      <c r="C8" s="65" t="s">
        <v>19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62" t="s">
        <v>60</v>
      </c>
      <c r="J8" s="172"/>
      <c r="K8" s="28"/>
    </row>
    <row r="9" spans="1:11" ht="20.100000000000001" customHeight="1" thickBot="1">
      <c r="A9" s="11" t="str">
        <f>JUV!A26</f>
        <v>OLIVERI CATERINA</v>
      </c>
      <c r="B9" s="169" t="str">
        <f>JUV!B26</f>
        <v>SPGC</v>
      </c>
      <c r="C9" s="66">
        <f>JUV!C26</f>
        <v>37495</v>
      </c>
      <c r="D9" s="16">
        <f>JUV!D26</f>
        <v>5</v>
      </c>
      <c r="E9" s="16">
        <f>JUV!E26</f>
        <v>36</v>
      </c>
      <c r="F9" s="16">
        <f>JUV!F26</f>
        <v>40</v>
      </c>
      <c r="G9" s="60">
        <f>SUM(E9:F9)</f>
        <v>76</v>
      </c>
      <c r="H9" s="164">
        <f>SUM(G9-D9)</f>
        <v>71</v>
      </c>
      <c r="I9" s="166">
        <f>JUV!J26</f>
        <v>-2</v>
      </c>
      <c r="J9" s="173" t="s">
        <v>15</v>
      </c>
      <c r="K9" s="28" t="s">
        <v>257</v>
      </c>
    </row>
    <row r="10" spans="1:11" ht="20.100000000000001" customHeight="1" thickBot="1">
      <c r="A10" s="11" t="str">
        <f>JUV!A27</f>
        <v>AYESA SOFIA</v>
      </c>
      <c r="B10" s="169" t="str">
        <f>JUV!B27</f>
        <v>MDPGC</v>
      </c>
      <c r="C10" s="66">
        <f>JUV!C27</f>
        <v>37876</v>
      </c>
      <c r="D10" s="16">
        <f>JUV!D27</f>
        <v>11</v>
      </c>
      <c r="E10" s="16">
        <f>JUV!E27</f>
        <v>38</v>
      </c>
      <c r="F10" s="16">
        <f>JUV!F27</f>
        <v>45</v>
      </c>
      <c r="G10" s="60">
        <f t="shared" ref="G10" si="0">SUM(E10:F10)</f>
        <v>83</v>
      </c>
      <c r="H10" s="164">
        <f t="shared" ref="H10" si="1">SUM(G10-D10)</f>
        <v>72</v>
      </c>
      <c r="I10" s="167">
        <f>JUV!J27</f>
        <v>1</v>
      </c>
      <c r="J10" s="173" t="s">
        <v>16</v>
      </c>
      <c r="K10" s="28" t="s">
        <v>257</v>
      </c>
    </row>
    <row r="11" spans="1:11" ht="20.25" thickBot="1">
      <c r="A11" s="204" t="str">
        <f>JUV!A9</f>
        <v>CABALLEROS JUVENILES (Clases 95- 96- 97- 98 - 99 - 00 y 01)</v>
      </c>
      <c r="B11" s="205"/>
      <c r="C11" s="205"/>
      <c r="D11" s="205"/>
      <c r="E11" s="205"/>
      <c r="F11" s="205"/>
      <c r="G11" s="205"/>
      <c r="H11" s="206"/>
      <c r="I11" s="165" t="s">
        <v>59</v>
      </c>
      <c r="J11" s="116"/>
      <c r="K11" s="28"/>
    </row>
    <row r="12" spans="1:11" ht="20.25" thickBot="1">
      <c r="A12" s="4" t="s">
        <v>0</v>
      </c>
      <c r="B12" s="168" t="s">
        <v>9</v>
      </c>
      <c r="C12" s="65" t="s">
        <v>19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163" t="s">
        <v>60</v>
      </c>
      <c r="J12" s="172"/>
      <c r="K12" s="28"/>
    </row>
    <row r="13" spans="1:11" ht="20.100000000000001" customHeight="1" thickBot="1">
      <c r="A13" s="11" t="str">
        <f>JUV!A11</f>
        <v>FERNADEZ FRANCISCO</v>
      </c>
      <c r="B13" s="169" t="str">
        <f>JUV!B11</f>
        <v>EVTGC</v>
      </c>
      <c r="C13" s="66">
        <f>JUV!C11</f>
        <v>37238</v>
      </c>
      <c r="D13" s="16">
        <f>JUV!D11</f>
        <v>15</v>
      </c>
      <c r="E13" s="16">
        <f>JUV!E11</f>
        <v>39</v>
      </c>
      <c r="F13" s="16">
        <f>JUV!F11</f>
        <v>41</v>
      </c>
      <c r="G13" s="60">
        <f>JUV!G11</f>
        <v>80</v>
      </c>
      <c r="H13" s="20">
        <f t="shared" ref="H13" si="2">SUM(G13-D13)</f>
        <v>65</v>
      </c>
      <c r="I13" s="166">
        <f>JUV!J11</f>
        <v>-6</v>
      </c>
      <c r="J13" s="168" t="s">
        <v>15</v>
      </c>
      <c r="K13" s="28" t="s">
        <v>257</v>
      </c>
    </row>
    <row r="14" spans="1:11" ht="20.100000000000001" customHeight="1" thickBot="1">
      <c r="A14" s="11" t="str">
        <f>JUV!A12</f>
        <v>BRISIGHELLI LUCA</v>
      </c>
      <c r="B14" s="169" t="str">
        <f>JUV!B12</f>
        <v>NGC</v>
      </c>
      <c r="C14" s="66">
        <f>JUV!C12</f>
        <v>36734</v>
      </c>
      <c r="D14" s="16">
        <f>JUV!D12</f>
        <v>26</v>
      </c>
      <c r="E14" s="16">
        <f>JUV!E12</f>
        <v>54</v>
      </c>
      <c r="F14" s="16">
        <f>JUV!F12</f>
        <v>41</v>
      </c>
      <c r="G14" s="60">
        <f>JUV!G12</f>
        <v>95</v>
      </c>
      <c r="H14" s="20">
        <f t="shared" ref="H14" si="3">SUM(G14-D14)</f>
        <v>69</v>
      </c>
      <c r="I14" s="167">
        <f>JUV!J12</f>
        <v>-2</v>
      </c>
      <c r="J14" s="168" t="s">
        <v>36</v>
      </c>
      <c r="K14" s="28" t="s">
        <v>257</v>
      </c>
    </row>
    <row r="15" spans="1:11" ht="20.25" thickBot="1">
      <c r="A15" s="204" t="str">
        <f>'M 18'!A9</f>
        <v>CABALLEROS MENORES (Clases 02 - 03 y 04)</v>
      </c>
      <c r="B15" s="205"/>
      <c r="C15" s="205"/>
      <c r="D15" s="205"/>
      <c r="E15" s="205"/>
      <c r="F15" s="205"/>
      <c r="G15" s="205"/>
      <c r="H15" s="206"/>
      <c r="I15" s="162" t="s">
        <v>59</v>
      </c>
      <c r="J15" s="116"/>
      <c r="K15" s="28"/>
    </row>
    <row r="16" spans="1:11" ht="20.25" thickBot="1">
      <c r="A16" s="4" t="s">
        <v>0</v>
      </c>
      <c r="B16" s="168" t="s">
        <v>9</v>
      </c>
      <c r="C16" s="65" t="s">
        <v>19</v>
      </c>
      <c r="D16" s="4" t="s">
        <v>1</v>
      </c>
      <c r="E16" s="4" t="s">
        <v>2</v>
      </c>
      <c r="F16" s="4" t="s">
        <v>3</v>
      </c>
      <c r="G16" s="4" t="s">
        <v>4</v>
      </c>
      <c r="H16" s="4" t="s">
        <v>5</v>
      </c>
      <c r="I16" s="163" t="s">
        <v>60</v>
      </c>
      <c r="J16" s="172"/>
      <c r="K16" s="28"/>
    </row>
    <row r="17" spans="1:11" ht="20.100000000000001" customHeight="1" thickBot="1">
      <c r="A17" s="11" t="str">
        <f>'M 18'!A11</f>
        <v>DABOS BENJAMiN</v>
      </c>
      <c r="B17" s="169" t="str">
        <f>'M 18'!B11</f>
        <v>TGC</v>
      </c>
      <c r="C17" s="66">
        <f>'M 18'!C11</f>
        <v>38299</v>
      </c>
      <c r="D17" s="16">
        <f>'M 18'!D11</f>
        <v>0</v>
      </c>
      <c r="E17" s="16">
        <f>'M 18'!E11</f>
        <v>36</v>
      </c>
      <c r="F17" s="16">
        <f>'M 18'!F11</f>
        <v>33</v>
      </c>
      <c r="G17" s="60">
        <f>'M 18'!G11</f>
        <v>69</v>
      </c>
      <c r="H17" s="20">
        <f t="shared" ref="H17:H18" si="4">SUM(G17-D17)</f>
        <v>69</v>
      </c>
      <c r="I17" s="166">
        <f>'M 18'!J11</f>
        <v>-1</v>
      </c>
      <c r="J17" s="168" t="s">
        <v>15</v>
      </c>
      <c r="K17" s="28" t="s">
        <v>257</v>
      </c>
    </row>
    <row r="18" spans="1:11" ht="20.100000000000001" customHeight="1" thickBot="1">
      <c r="A18" s="11" t="str">
        <f>'M 18'!A12</f>
        <v>CERONO ENZO</v>
      </c>
      <c r="B18" s="169" t="str">
        <f>'M 18'!B12</f>
        <v>SPGC</v>
      </c>
      <c r="C18" s="66">
        <f>'M 18'!C12</f>
        <v>37583</v>
      </c>
      <c r="D18" s="16">
        <f>'M 18'!D12</f>
        <v>26</v>
      </c>
      <c r="E18" s="16">
        <f>'M 18'!E12</f>
        <v>48</v>
      </c>
      <c r="F18" s="16">
        <f>'M 18'!F12</f>
        <v>50</v>
      </c>
      <c r="G18" s="60">
        <f>'M 18'!G12</f>
        <v>98</v>
      </c>
      <c r="H18" s="20">
        <f t="shared" si="4"/>
        <v>72</v>
      </c>
      <c r="I18" s="167">
        <f>'M 18'!J12</f>
        <v>1</v>
      </c>
      <c r="J18" s="168" t="s">
        <v>16</v>
      </c>
      <c r="K18" s="28" t="s">
        <v>257</v>
      </c>
    </row>
    <row r="19" spans="1:11" thickBot="1">
      <c r="A19" s="198" t="str">
        <f>'M 15'!A9:H9</f>
        <v>CABALLEROS MENORES DE 15 AÑOS (Clases 05 y 06)</v>
      </c>
      <c r="B19" s="199"/>
      <c r="C19" s="199"/>
      <c r="D19" s="199"/>
      <c r="E19" s="199"/>
      <c r="F19" s="199"/>
      <c r="G19" s="199"/>
      <c r="H19" s="200"/>
      <c r="I19" s="162" t="s">
        <v>59</v>
      </c>
      <c r="J19" s="116"/>
      <c r="K19" s="28"/>
    </row>
    <row r="20" spans="1:11" ht="20.25" thickBot="1">
      <c r="A20" s="4" t="s">
        <v>0</v>
      </c>
      <c r="B20" s="168" t="s">
        <v>9</v>
      </c>
      <c r="C20" s="65" t="s">
        <v>19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63" t="s">
        <v>60</v>
      </c>
      <c r="J20" s="172"/>
      <c r="K20" s="28"/>
    </row>
    <row r="21" spans="1:11" ht="20.100000000000001" customHeight="1" thickBot="1">
      <c r="A21" s="11" t="str">
        <f>'M 15'!A11</f>
        <v>SAFE FRANCO</v>
      </c>
      <c r="B21" s="169" t="str">
        <f>'M 15'!B11</f>
        <v>SPGC</v>
      </c>
      <c r="C21" s="66">
        <f>'M 15'!C11</f>
        <v>39044</v>
      </c>
      <c r="D21" s="16">
        <f>'M 15'!D11</f>
        <v>10</v>
      </c>
      <c r="E21" s="16">
        <f>'M 15'!E11</f>
        <v>41</v>
      </c>
      <c r="F21" s="16">
        <f>'M 15'!F11</f>
        <v>37</v>
      </c>
      <c r="G21" s="60">
        <f>'M 15'!G11</f>
        <v>78</v>
      </c>
      <c r="H21" s="20">
        <f t="shared" ref="H21" si="5">SUM(G21-D21)</f>
        <v>68</v>
      </c>
      <c r="I21" s="166">
        <f>'M 15'!J11</f>
        <v>-3</v>
      </c>
      <c r="J21" s="168" t="s">
        <v>15</v>
      </c>
      <c r="K21" s="28" t="s">
        <v>257</v>
      </c>
    </row>
    <row r="22" spans="1:11" ht="20.100000000000001" customHeight="1" thickBot="1">
      <c r="A22" s="11" t="str">
        <f>'M 15'!A12</f>
        <v>ROLON FRANCISCO</v>
      </c>
      <c r="B22" s="169" t="str">
        <f>'M 15'!B12</f>
        <v>MDPGC</v>
      </c>
      <c r="C22" s="66">
        <f>'M 15'!C12</f>
        <v>38872</v>
      </c>
      <c r="D22" s="16">
        <f>'M 15'!D12</f>
        <v>17</v>
      </c>
      <c r="E22" s="16">
        <f>'M 15'!E12</f>
        <v>43</v>
      </c>
      <c r="F22" s="16">
        <f>'M 15'!F12</f>
        <v>43</v>
      </c>
      <c r="G22" s="60">
        <f>'M 15'!G12</f>
        <v>86</v>
      </c>
      <c r="H22" s="20">
        <f t="shared" ref="H22" si="6">SUM(G22-D22)</f>
        <v>69</v>
      </c>
      <c r="I22" s="167">
        <f>'M 15'!J12</f>
        <v>-2</v>
      </c>
      <c r="J22" s="168" t="s">
        <v>16</v>
      </c>
      <c r="K22" s="28" t="s">
        <v>257</v>
      </c>
    </row>
    <row r="23" spans="1:11" ht="20.25" thickBot="1">
      <c r="A23" s="204" t="str">
        <f>'M 15'!A32:H32</f>
        <v>DAMAS MENORES DE 15 AÑOS (Clases 05 y Posteriores)</v>
      </c>
      <c r="B23" s="205"/>
      <c r="C23" s="205"/>
      <c r="D23" s="205"/>
      <c r="E23" s="205"/>
      <c r="F23" s="205"/>
      <c r="G23" s="205"/>
      <c r="H23" s="206"/>
      <c r="I23" s="162" t="s">
        <v>59</v>
      </c>
      <c r="J23" s="10"/>
      <c r="K23" s="28"/>
    </row>
    <row r="24" spans="1:11" ht="20.25" thickBot="1">
      <c r="A24" s="4" t="s">
        <v>6</v>
      </c>
      <c r="B24" s="168" t="s">
        <v>9</v>
      </c>
      <c r="C24" s="65" t="s">
        <v>19</v>
      </c>
      <c r="D24" s="4" t="s">
        <v>1</v>
      </c>
      <c r="E24" s="4" t="s">
        <v>2</v>
      </c>
      <c r="F24" s="4" t="s">
        <v>3</v>
      </c>
      <c r="G24" s="4" t="s">
        <v>4</v>
      </c>
      <c r="H24" s="4" t="s">
        <v>5</v>
      </c>
      <c r="I24" s="163" t="s">
        <v>60</v>
      </c>
      <c r="J24" s="172"/>
      <c r="K24" s="28"/>
    </row>
    <row r="25" spans="1:11" ht="20.100000000000001" customHeight="1" thickBot="1">
      <c r="A25" s="11" t="str">
        <f>'M 15'!A34</f>
        <v>OLIVERI ANGELINA</v>
      </c>
      <c r="B25" s="169" t="str">
        <f>'M 15'!B34</f>
        <v>SPGC</v>
      </c>
      <c r="C25" s="66">
        <f>'M 15'!C34</f>
        <v>38821</v>
      </c>
      <c r="D25" s="16">
        <f>'M 15'!D34</f>
        <v>17</v>
      </c>
      <c r="E25" s="16">
        <f>'M 15'!E34</f>
        <v>39</v>
      </c>
      <c r="F25" s="16">
        <f>'M 15'!F34</f>
        <v>45</v>
      </c>
      <c r="G25" s="60">
        <f>'M 15'!G34</f>
        <v>84</v>
      </c>
      <c r="H25" s="20">
        <f>'M 15'!H34</f>
        <v>67</v>
      </c>
      <c r="I25" s="166">
        <f>'M 15'!J34</f>
        <v>-6</v>
      </c>
      <c r="J25" s="168" t="s">
        <v>15</v>
      </c>
      <c r="K25" s="28" t="s">
        <v>257</v>
      </c>
    </row>
    <row r="26" spans="1:11" ht="20.100000000000001" customHeight="1" thickBot="1">
      <c r="A26" s="11" t="str">
        <f>'M 15'!A35</f>
        <v>SALVI PAULA</v>
      </c>
      <c r="B26" s="169" t="str">
        <f>'M 15'!B35</f>
        <v>TGC</v>
      </c>
      <c r="C26" s="66">
        <f>'M 15'!C35</f>
        <v>38798</v>
      </c>
      <c r="D26" s="16">
        <f>'M 15'!D35</f>
        <v>33</v>
      </c>
      <c r="E26" s="16">
        <f>'M 15'!E35</f>
        <v>51</v>
      </c>
      <c r="F26" s="16">
        <f>'M 15'!F35</f>
        <v>46</v>
      </c>
      <c r="G26" s="60">
        <f>'M 15'!G35</f>
        <v>97</v>
      </c>
      <c r="H26" s="20">
        <f>'M 15'!H35</f>
        <v>64</v>
      </c>
      <c r="I26" s="167">
        <f>'M 15'!J35</f>
        <v>-6</v>
      </c>
      <c r="J26" s="168" t="s">
        <v>16</v>
      </c>
      <c r="K26" s="28" t="s">
        <v>257</v>
      </c>
    </row>
    <row r="27" spans="1:11" thickBot="1">
      <c r="A27" s="198" t="str">
        <f>'M 13'!A9:H9</f>
        <v>CABALLEROS MENORES DE 13 AÑOS (Clases 07 y Posteriores)</v>
      </c>
      <c r="B27" s="199"/>
      <c r="C27" s="199"/>
      <c r="D27" s="199"/>
      <c r="E27" s="199"/>
      <c r="F27" s="199"/>
      <c r="G27" s="199"/>
      <c r="H27" s="200"/>
      <c r="I27" s="162" t="s">
        <v>59</v>
      </c>
      <c r="J27" s="116"/>
    </row>
    <row r="28" spans="1:11" ht="20.25" thickBot="1">
      <c r="A28" s="4" t="s">
        <v>0</v>
      </c>
      <c r="B28" s="168" t="s">
        <v>9</v>
      </c>
      <c r="C28" s="65" t="s">
        <v>19</v>
      </c>
      <c r="D28" s="4" t="s">
        <v>1</v>
      </c>
      <c r="E28" s="4" t="s">
        <v>2</v>
      </c>
      <c r="F28" s="4" t="s">
        <v>3</v>
      </c>
      <c r="G28" s="4" t="s">
        <v>4</v>
      </c>
      <c r="H28" s="4" t="s">
        <v>5</v>
      </c>
      <c r="I28" s="163" t="s">
        <v>60</v>
      </c>
      <c r="J28" s="172"/>
    </row>
    <row r="29" spans="1:11" ht="20.100000000000001" customHeight="1" thickBot="1">
      <c r="A29" s="11" t="str">
        <f>'M 13'!A11</f>
        <v>SALVI SANTINO</v>
      </c>
      <c r="B29" s="169" t="str">
        <f>'M 13'!B11</f>
        <v>EVTGC</v>
      </c>
      <c r="C29" s="66">
        <f>'M 13'!C11</f>
        <v>39699</v>
      </c>
      <c r="D29" s="16">
        <f>'M 13'!D11</f>
        <v>22</v>
      </c>
      <c r="E29" s="16">
        <f>'M 13'!E11</f>
        <v>42</v>
      </c>
      <c r="F29" s="16">
        <f>'M 13'!F11</f>
        <v>44</v>
      </c>
      <c r="G29" s="60">
        <f>'M 13'!G11</f>
        <v>86</v>
      </c>
      <c r="H29" s="20">
        <f>'M 13'!H11</f>
        <v>64</v>
      </c>
      <c r="I29" s="166">
        <f>'M 13'!J11</f>
        <v>-7</v>
      </c>
      <c r="J29" s="168" t="s">
        <v>15</v>
      </c>
      <c r="K29" s="28" t="s">
        <v>257</v>
      </c>
    </row>
    <row r="30" spans="1:11" ht="20.100000000000001" customHeight="1" thickBot="1">
      <c r="A30" s="68" t="str">
        <f>'M 13'!A12</f>
        <v>JARQUE FELIPE</v>
      </c>
      <c r="B30" s="170" t="str">
        <f>'M 13'!B12</f>
        <v>EVTGC</v>
      </c>
      <c r="C30" s="69">
        <f>'M 13'!C12</f>
        <v>39867</v>
      </c>
      <c r="D30" s="70">
        <f>'M 13'!D12</f>
        <v>28</v>
      </c>
      <c r="E30" s="70">
        <f>'M 13'!E12</f>
        <v>45</v>
      </c>
      <c r="F30" s="70">
        <f>'M 13'!F12</f>
        <v>47</v>
      </c>
      <c r="G30" s="71">
        <f>'M 13'!G12</f>
        <v>92</v>
      </c>
      <c r="H30" s="72">
        <f>'M 13'!H12</f>
        <v>64</v>
      </c>
      <c r="I30" s="167">
        <f>'M 13'!J12</f>
        <v>-7</v>
      </c>
      <c r="J30" s="168" t="s">
        <v>16</v>
      </c>
      <c r="K30" s="28" t="s">
        <v>257</v>
      </c>
    </row>
  </sheetData>
  <mergeCells count="12">
    <mergeCell ref="A27:H27"/>
    <mergeCell ref="A5:H5"/>
    <mergeCell ref="A6:H6"/>
    <mergeCell ref="A1:H1"/>
    <mergeCell ref="A2:H2"/>
    <mergeCell ref="A3:H3"/>
    <mergeCell ref="A4:H4"/>
    <mergeCell ref="A19:H19"/>
    <mergeCell ref="A23:H23"/>
    <mergeCell ref="A7:H7"/>
    <mergeCell ref="A11:H11"/>
    <mergeCell ref="A15:H1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E123"/>
  <sheetViews>
    <sheetView zoomScale="70" zoomScaleNormal="70" workbookViewId="0">
      <selection sqref="A1:D1"/>
    </sheetView>
  </sheetViews>
  <sheetFormatPr baseColWidth="10" defaultRowHeight="18.75"/>
  <cols>
    <col min="1" max="1" width="53.5703125" style="7" bestFit="1" customWidth="1"/>
    <col min="2" max="2" width="13.28515625" style="9" bestFit="1" customWidth="1"/>
    <col min="3" max="3" width="15.7109375" style="43" bestFit="1" customWidth="1"/>
    <col min="4" max="4" width="10.85546875" style="9" bestFit="1" customWidth="1"/>
    <col min="5" max="5" width="4.28515625" style="7" bestFit="1" customWidth="1"/>
    <col min="6" max="16384" width="11.42578125" style="7"/>
  </cols>
  <sheetData>
    <row r="1" spans="1:5" ht="19.5">
      <c r="A1" s="201" t="str">
        <f>JUV!A1</f>
        <v>3° TORNEO VIRTUAL</v>
      </c>
      <c r="B1" s="201"/>
      <c r="C1" s="201"/>
      <c r="D1" s="201"/>
      <c r="E1" s="28"/>
    </row>
    <row r="2" spans="1:5" ht="19.5">
      <c r="A2" s="201" t="str">
        <f>JUV!A2</f>
        <v>CLUBES DE LA FEDERACION</v>
      </c>
      <c r="B2" s="201"/>
      <c r="C2" s="201"/>
      <c r="D2" s="201"/>
      <c r="E2" s="28"/>
    </row>
    <row r="3" spans="1:5" ht="19.5">
      <c r="A3" s="201" t="str">
        <f>JUV!A3</f>
        <v>FEDERACION REGIONAL DE GOLF MAR Y SIERRAS</v>
      </c>
      <c r="B3" s="201"/>
      <c r="C3" s="201"/>
      <c r="D3" s="201"/>
      <c r="E3" s="28"/>
    </row>
    <row r="4" spans="1:5" ht="19.5">
      <c r="A4" s="203" t="s">
        <v>12</v>
      </c>
      <c r="B4" s="203"/>
      <c r="C4" s="203"/>
      <c r="D4" s="203"/>
      <c r="E4" s="28"/>
    </row>
    <row r="5" spans="1:5" ht="19.5">
      <c r="A5" s="201" t="s">
        <v>14</v>
      </c>
      <c r="B5" s="201"/>
      <c r="C5" s="201"/>
      <c r="D5" s="201"/>
      <c r="E5" s="28"/>
    </row>
    <row r="6" spans="1:5" ht="19.5">
      <c r="A6" s="201" t="str">
        <f>JUV!A6</f>
        <v>07 AL 11 DE NOVIEMBRE DE 2020</v>
      </c>
      <c r="B6" s="201"/>
      <c r="C6" s="201"/>
      <c r="D6" s="201"/>
      <c r="E6" s="28"/>
    </row>
    <row r="7" spans="1:5" ht="20.25" thickBot="1">
      <c r="A7" s="31"/>
      <c r="B7" s="31"/>
      <c r="C7" s="31"/>
      <c r="D7" s="31"/>
      <c r="E7" s="28"/>
    </row>
    <row r="8" spans="1:5" ht="20.25" thickBot="1">
      <c r="A8" s="204" t="str">
        <f>ALBATROS!A34</f>
        <v>ALBATROS - DAMAS CLASES 07 - 08 -</v>
      </c>
      <c r="B8" s="207"/>
      <c r="C8" s="207"/>
      <c r="D8" s="206"/>
      <c r="E8" s="28"/>
    </row>
    <row r="9" spans="1:5" s="31" customFormat="1" ht="20.25" thickBot="1">
      <c r="A9" s="29" t="s">
        <v>6</v>
      </c>
      <c r="B9" s="8" t="s">
        <v>9</v>
      </c>
      <c r="C9" s="32" t="s">
        <v>19</v>
      </c>
      <c r="D9" s="30" t="s">
        <v>8</v>
      </c>
      <c r="E9" s="28"/>
    </row>
    <row r="10" spans="1:5" ht="19.5">
      <c r="A10" s="33" t="str">
        <f>ALBATROS!A36</f>
        <v>ACHEN ALDANA</v>
      </c>
      <c r="B10" s="34" t="str">
        <f>ALBATROS!B36</f>
        <v>CMDP</v>
      </c>
      <c r="C10" s="35">
        <f>ALBATROS!C36</f>
        <v>39591</v>
      </c>
      <c r="D10" s="36">
        <f>ALBATROS!D36</f>
        <v>47</v>
      </c>
      <c r="E10" s="28" t="s">
        <v>257</v>
      </c>
    </row>
    <row r="11" spans="1:5" ht="19.5">
      <c r="A11" s="37" t="str">
        <f>ALBATROS!A37</f>
        <v>LEON CAMPOS IARA</v>
      </c>
      <c r="B11" s="38" t="str">
        <f>ALBATROS!B37</f>
        <v>MDPGC</v>
      </c>
      <c r="C11" s="39">
        <f>ALBATROS!C37</f>
        <v>39177</v>
      </c>
      <c r="D11" s="40">
        <f>ALBATROS!D37</f>
        <v>48</v>
      </c>
      <c r="E11" s="28" t="s">
        <v>257</v>
      </c>
    </row>
    <row r="12" spans="1:5" ht="19.5" thickBot="1">
      <c r="B12" s="7"/>
      <c r="C12" s="41"/>
      <c r="D12" s="7"/>
      <c r="E12" s="28"/>
    </row>
    <row r="13" spans="1:5" ht="20.25" thickBot="1">
      <c r="A13" s="204" t="str">
        <f>ALBATROS!A9</f>
        <v>ALBATROS - CABALLEROS CLASES 07 - 08 -</v>
      </c>
      <c r="B13" s="205"/>
      <c r="C13" s="205"/>
      <c r="D13" s="206"/>
      <c r="E13" s="28"/>
    </row>
    <row r="14" spans="1:5" ht="20.25" thickBot="1">
      <c r="A14" s="8" t="s">
        <v>0</v>
      </c>
      <c r="B14" s="8" t="s">
        <v>9</v>
      </c>
      <c r="C14" s="32" t="s">
        <v>19</v>
      </c>
      <c r="D14" s="8" t="s">
        <v>8</v>
      </c>
      <c r="E14" s="28"/>
    </row>
    <row r="15" spans="1:5" ht="19.5">
      <c r="A15" s="33" t="str">
        <f>ALBATROS!A11</f>
        <v>SANTANA PEDRO</v>
      </c>
      <c r="B15" s="34" t="str">
        <f>ALBATROS!B11</f>
        <v>SPGC</v>
      </c>
      <c r="C15" s="35">
        <f>ALBATROS!C11</f>
        <v>39638</v>
      </c>
      <c r="D15" s="36">
        <f>ALBATROS!D11</f>
        <v>48</v>
      </c>
      <c r="E15" s="28" t="s">
        <v>257</v>
      </c>
    </row>
    <row r="16" spans="1:5" ht="19.5">
      <c r="A16" s="37" t="str">
        <f>ALBATROS!A12</f>
        <v>TOBLER GONZALO</v>
      </c>
      <c r="B16" s="38" t="str">
        <f>ALBATROS!B12</f>
        <v>SPGC</v>
      </c>
      <c r="C16" s="39">
        <f>ALBATROS!C12</f>
        <v>39755</v>
      </c>
      <c r="D16" s="40">
        <f>ALBATROS!D12</f>
        <v>49</v>
      </c>
      <c r="E16" s="28" t="s">
        <v>257</v>
      </c>
    </row>
    <row r="17" spans="1:5" ht="19.5" thickBot="1">
      <c r="B17" s="7"/>
      <c r="C17" s="41"/>
      <c r="D17" s="7"/>
      <c r="E17" s="28"/>
    </row>
    <row r="18" spans="1:5" ht="20.25" thickBot="1">
      <c r="A18" s="204" t="str">
        <f>EAGLES!A37</f>
        <v>EAGLES - DAMAS CLASES 09 - 10 -</v>
      </c>
      <c r="B18" s="205"/>
      <c r="C18" s="205"/>
      <c r="D18" s="206"/>
      <c r="E18" s="28"/>
    </row>
    <row r="19" spans="1:5" s="31" customFormat="1" ht="20.25" thickBot="1">
      <c r="A19" s="8" t="s">
        <v>6</v>
      </c>
      <c r="B19" s="8" t="s">
        <v>9</v>
      </c>
      <c r="C19" s="32" t="s">
        <v>19</v>
      </c>
      <c r="D19" s="8" t="s">
        <v>8</v>
      </c>
      <c r="E19" s="28"/>
    </row>
    <row r="20" spans="1:5" ht="19.5">
      <c r="A20" s="33" t="str">
        <f>EAGLES!A39</f>
        <v>CACACE ISABELLA</v>
      </c>
      <c r="B20" s="34" t="str">
        <f>EAGLES!B39</f>
        <v>CMDP</v>
      </c>
      <c r="C20" s="35">
        <f>EAGLES!C39</f>
        <v>39869</v>
      </c>
      <c r="D20" s="36">
        <f>EAGLES!D39</f>
        <v>45</v>
      </c>
      <c r="E20" s="28" t="s">
        <v>257</v>
      </c>
    </row>
    <row r="21" spans="1:5" ht="19.5">
      <c r="A21" s="37" t="str">
        <f>EAGLES!A40</f>
        <v>MEILAN LOURDES</v>
      </c>
      <c r="B21" s="38" t="str">
        <f>EAGLES!B40</f>
        <v>CMDP</v>
      </c>
      <c r="C21" s="39">
        <f>EAGLES!C40</f>
        <v>40321</v>
      </c>
      <c r="D21" s="40">
        <f>EAGLES!D40</f>
        <v>48</v>
      </c>
      <c r="E21" s="28" t="s">
        <v>257</v>
      </c>
    </row>
    <row r="22" spans="1:5" ht="19.5" thickBot="1">
      <c r="B22" s="7"/>
      <c r="C22" s="41"/>
      <c r="D22" s="7"/>
      <c r="E22" s="28"/>
    </row>
    <row r="23" spans="1:5" ht="20.25" thickBot="1">
      <c r="A23" s="204" t="str">
        <f>EAGLES!A8</f>
        <v>EAGLES - CABALLEROS CLASES 09 - 10 -</v>
      </c>
      <c r="B23" s="205"/>
      <c r="C23" s="205"/>
      <c r="D23" s="206"/>
      <c r="E23" s="28"/>
    </row>
    <row r="24" spans="1:5" ht="20.25" thickBot="1">
      <c r="A24" s="8" t="s">
        <v>0</v>
      </c>
      <c r="B24" s="8" t="s">
        <v>9</v>
      </c>
      <c r="C24" s="32" t="s">
        <v>19</v>
      </c>
      <c r="D24" s="8" t="s">
        <v>8</v>
      </c>
      <c r="E24" s="28"/>
    </row>
    <row r="25" spans="1:5" ht="19.5">
      <c r="A25" s="33" t="str">
        <f>EAGLES!A10</f>
        <v>LANDI AGUSTIN</v>
      </c>
      <c r="B25" s="34" t="str">
        <f>EAGLES!B10</f>
        <v>MDPGC</v>
      </c>
      <c r="C25" s="35">
        <f>EAGLES!C10</f>
        <v>39819</v>
      </c>
      <c r="D25" s="36">
        <f>EAGLES!D10</f>
        <v>38</v>
      </c>
      <c r="E25" s="28" t="s">
        <v>257</v>
      </c>
    </row>
    <row r="26" spans="1:5" ht="19.5">
      <c r="A26" s="37" t="str">
        <f>EAGLES!A11</f>
        <v>PORTIS SANTIAGO</v>
      </c>
      <c r="B26" s="38" t="str">
        <f>EAGLES!B11</f>
        <v>CMDP</v>
      </c>
      <c r="C26" s="39">
        <f>EAGLES!C11</f>
        <v>40175</v>
      </c>
      <c r="D26" s="40">
        <f>EAGLES!D11</f>
        <v>39</v>
      </c>
      <c r="E26" s="28" t="s">
        <v>257</v>
      </c>
    </row>
    <row r="27" spans="1:5" ht="19.5" thickBot="1">
      <c r="B27" s="7"/>
      <c r="C27" s="41"/>
      <c r="D27" s="7"/>
      <c r="E27" s="28"/>
    </row>
    <row r="28" spans="1:5" ht="20.25" thickBot="1">
      <c r="A28" s="204" t="str">
        <f>BIRDIES!A8</f>
        <v>BIRDIES - CABALLEROS CLASES 11 Y POSTERIORES -</v>
      </c>
      <c r="B28" s="205"/>
      <c r="C28" s="205"/>
      <c r="D28" s="206"/>
      <c r="E28" s="28"/>
    </row>
    <row r="29" spans="1:5" ht="20.25" thickBot="1">
      <c r="A29" s="4" t="s">
        <v>0</v>
      </c>
      <c r="B29" s="4" t="s">
        <v>9</v>
      </c>
      <c r="C29" s="32" t="s">
        <v>19</v>
      </c>
      <c r="D29" s="4" t="s">
        <v>8</v>
      </c>
      <c r="E29" s="28"/>
    </row>
    <row r="30" spans="1:5" ht="19.5">
      <c r="A30" s="33" t="str">
        <f>BIRDIES!A10</f>
        <v>CACACE BLAS</v>
      </c>
      <c r="B30" s="34" t="str">
        <f>BIRDIES!B10</f>
        <v>CMDP</v>
      </c>
      <c r="C30" s="35">
        <f>BIRDIES!C10</f>
        <v>40798</v>
      </c>
      <c r="D30" s="36">
        <f>BIRDIES!D10</f>
        <v>41</v>
      </c>
      <c r="E30" s="28" t="s">
        <v>257</v>
      </c>
    </row>
    <row r="31" spans="1:5" ht="19.5">
      <c r="A31" s="37" t="str">
        <f>BIRDIES!A11</f>
        <v>CRUZ AGUSTO</v>
      </c>
      <c r="B31" s="38" t="str">
        <f>BIRDIES!B11</f>
        <v>EVTGC</v>
      </c>
      <c r="C31" s="39">
        <f>BIRDIES!C11</f>
        <v>40766</v>
      </c>
      <c r="D31" s="40">
        <f>BIRDIES!D11</f>
        <v>43</v>
      </c>
      <c r="E31" s="28" t="s">
        <v>257</v>
      </c>
    </row>
    <row r="32" spans="1:5" ht="20.25" thickBot="1">
      <c r="A32" s="46"/>
      <c r="B32" s="47"/>
      <c r="C32" s="48"/>
      <c r="D32" s="45"/>
      <c r="E32" s="28"/>
    </row>
    <row r="33" spans="1:5" ht="20.25" thickBot="1">
      <c r="A33" s="204" t="str">
        <f>BIRDIES!A29</f>
        <v>BIRDIES - DAMAS CLASES 11 Y POSTERIORES -</v>
      </c>
      <c r="B33" s="205"/>
      <c r="C33" s="205"/>
      <c r="D33" s="206"/>
      <c r="E33" s="28"/>
    </row>
    <row r="34" spans="1:5" ht="20.25" thickBot="1">
      <c r="A34" s="4" t="s">
        <v>6</v>
      </c>
      <c r="B34" s="4" t="s">
        <v>9</v>
      </c>
      <c r="C34" s="32" t="s">
        <v>19</v>
      </c>
      <c r="D34" s="4" t="s">
        <v>8</v>
      </c>
      <c r="E34" s="28"/>
    </row>
    <row r="35" spans="1:5" ht="19.5">
      <c r="A35" s="33" t="str">
        <f>BIRDIES!A31</f>
        <v>MARTIN MILENA</v>
      </c>
      <c r="B35" s="34" t="str">
        <f>BIRDIES!B31</f>
        <v>CMDP</v>
      </c>
      <c r="C35" s="35">
        <f>BIRDIES!C31</f>
        <v>40984</v>
      </c>
      <c r="D35" s="36">
        <f>BIRDIES!D31</f>
        <v>52</v>
      </c>
      <c r="E35" s="28" t="s">
        <v>257</v>
      </c>
    </row>
    <row r="36" spans="1:5" ht="19.5">
      <c r="A36" s="37" t="str">
        <f>BIRDIES!A32</f>
        <v>BIONDELI ALEGRA</v>
      </c>
      <c r="B36" s="38" t="str">
        <f>BIRDIES!B32</f>
        <v>SPGC</v>
      </c>
      <c r="C36" s="39">
        <f>BIRDIES!C32</f>
        <v>40616</v>
      </c>
      <c r="D36" s="40">
        <f>BIRDIES!D32</f>
        <v>65</v>
      </c>
      <c r="E36" s="28" t="s">
        <v>257</v>
      </c>
    </row>
    <row r="37" spans="1:5" ht="20.25" thickBot="1">
      <c r="A37" s="46"/>
      <c r="B37" s="47"/>
      <c r="C37" s="48"/>
      <c r="D37" s="57"/>
      <c r="E37" s="28"/>
    </row>
    <row r="38" spans="1:5" ht="20.25" thickBot="1">
      <c r="A38" s="204" t="str">
        <f>PROMOCIONALES!A8</f>
        <v>CATEGORIA PROMOCIONALES A HCP.</v>
      </c>
      <c r="B38" s="205"/>
      <c r="C38" s="205"/>
      <c r="D38" s="206"/>
      <c r="E38" s="28"/>
    </row>
    <row r="39" spans="1:5" ht="20.25" thickBot="1">
      <c r="A39" s="4" t="s">
        <v>0</v>
      </c>
      <c r="B39" s="4" t="s">
        <v>9</v>
      </c>
      <c r="C39" s="32" t="s">
        <v>19</v>
      </c>
      <c r="D39" s="4" t="s">
        <v>8</v>
      </c>
      <c r="E39" s="28"/>
    </row>
    <row r="40" spans="1:5" ht="19.5">
      <c r="A40" s="33" t="str">
        <f>PROMOCIONALES!A10</f>
        <v>CARACOTCHE CARMELA</v>
      </c>
      <c r="B40" s="34" t="str">
        <f>PROMOCIONALES!B10</f>
        <v>MDPGC</v>
      </c>
      <c r="C40" s="35">
        <f>PROMOCIONALES!C10</f>
        <v>38200</v>
      </c>
      <c r="D40" s="36">
        <f>PROMOCIONALES!D10</f>
        <v>55</v>
      </c>
      <c r="E40" s="28" t="s">
        <v>257</v>
      </c>
    </row>
    <row r="41" spans="1:5" ht="20.25" thickBot="1">
      <c r="A41" s="53" t="str">
        <f>PROMOCIONALES!A11</f>
        <v>LI PUMA IGNACIO (Ult. 6 H 33)</v>
      </c>
      <c r="B41" s="51" t="str">
        <f>PROMOCIONALES!B11</f>
        <v>MDPGC</v>
      </c>
      <c r="C41" s="52">
        <f>PROMOCIONALES!C11</f>
        <v>37971</v>
      </c>
      <c r="D41" s="54">
        <f>PROMOCIONALES!D11</f>
        <v>57</v>
      </c>
      <c r="E41" s="28" t="s">
        <v>257</v>
      </c>
    </row>
    <row r="42" spans="1:5" ht="20.25" thickBot="1">
      <c r="A42" s="46"/>
      <c r="B42" s="47"/>
      <c r="C42" s="48"/>
      <c r="D42" s="45"/>
      <c r="E42" s="28"/>
    </row>
    <row r="43" spans="1:5" ht="20.25" thickBot="1">
      <c r="A43" s="204" t="s">
        <v>13</v>
      </c>
      <c r="B43" s="205"/>
      <c r="C43" s="205"/>
      <c r="D43" s="206"/>
      <c r="E43" s="28"/>
    </row>
    <row r="44" spans="1:5" ht="20.25" thickBot="1">
      <c r="A44" s="4" t="s">
        <v>0</v>
      </c>
      <c r="B44" s="4" t="s">
        <v>9</v>
      </c>
      <c r="C44" s="42" t="s">
        <v>10</v>
      </c>
      <c r="D44" s="4" t="s">
        <v>22</v>
      </c>
      <c r="E44" s="28"/>
    </row>
    <row r="45" spans="1:5" ht="19.5">
      <c r="A45" s="37" t="str">
        <f>'5 H Y H.A. Y GGII'!A10</f>
        <v>ORESTE FALCON</v>
      </c>
      <c r="B45" s="38" t="str">
        <f>'5 H Y H.A. Y GGII'!B10</f>
        <v>NGC</v>
      </c>
      <c r="C45" s="39" t="s">
        <v>10</v>
      </c>
      <c r="D45" s="40">
        <f>'5 H Y H.A. Y GGII'!C10</f>
        <v>24</v>
      </c>
      <c r="E45" s="28" t="s">
        <v>257</v>
      </c>
    </row>
    <row r="46" spans="1:5" ht="19.5">
      <c r="A46" s="37" t="str">
        <f>'5 H Y H.A. Y GGII'!A11</f>
        <v>GERINO RENATO</v>
      </c>
      <c r="B46" s="38" t="str">
        <f>'5 H Y H.A. Y GGII'!B11</f>
        <v>EVTGC</v>
      </c>
      <c r="C46" s="39" t="s">
        <v>10</v>
      </c>
      <c r="D46" s="40">
        <f>'5 H Y H.A. Y GGII'!C11</f>
        <v>26</v>
      </c>
      <c r="E46" s="28" t="s">
        <v>257</v>
      </c>
    </row>
    <row r="47" spans="1:5" ht="19.5">
      <c r="A47" s="37" t="str">
        <f>'5 H Y H.A. Y GGII'!A12</f>
        <v>JUAREZ BENJAMIN</v>
      </c>
      <c r="B47" s="38" t="str">
        <f>'5 H Y H.A. Y GGII'!B12</f>
        <v>TGC</v>
      </c>
      <c r="C47" s="39" t="s">
        <v>10</v>
      </c>
      <c r="D47" s="40">
        <f>'5 H Y H.A. Y GGII'!C12</f>
        <v>27</v>
      </c>
      <c r="E47" s="28" t="s">
        <v>257</v>
      </c>
    </row>
    <row r="48" spans="1:5" ht="19.5">
      <c r="A48" s="37" t="str">
        <f>'5 H Y H.A. Y GGII'!A13</f>
        <v>RENDO GUADALUPE</v>
      </c>
      <c r="B48" s="38" t="str">
        <f>'5 H Y H.A. Y GGII'!B13</f>
        <v>NGC</v>
      </c>
      <c r="C48" s="39" t="s">
        <v>10</v>
      </c>
      <c r="D48" s="40">
        <f>'5 H Y H.A. Y GGII'!C13</f>
        <v>27</v>
      </c>
      <c r="E48" s="28" t="s">
        <v>257</v>
      </c>
    </row>
    <row r="49" spans="1:5" ht="19.5">
      <c r="A49" s="37" t="str">
        <f>'5 H Y H.A. Y GGII'!A14</f>
        <v>PORCARO UMA</v>
      </c>
      <c r="B49" s="38" t="str">
        <f>'5 H Y H.A. Y GGII'!B14</f>
        <v>NGC</v>
      </c>
      <c r="C49" s="39" t="s">
        <v>10</v>
      </c>
      <c r="D49" s="40">
        <f>'5 H Y H.A. Y GGII'!C14</f>
        <v>27</v>
      </c>
      <c r="E49" s="28" t="s">
        <v>257</v>
      </c>
    </row>
    <row r="50" spans="1:5" ht="19.5">
      <c r="A50" s="37" t="str">
        <f>'5 H Y H.A. Y GGII'!A15</f>
        <v>ALFAYA SIMON</v>
      </c>
      <c r="B50" s="38" t="str">
        <f>'5 H Y H.A. Y GGII'!B15</f>
        <v>TGC</v>
      </c>
      <c r="C50" s="39" t="s">
        <v>10</v>
      </c>
      <c r="D50" s="40">
        <f>'5 H Y H.A. Y GGII'!C15</f>
        <v>28</v>
      </c>
      <c r="E50" s="28" t="s">
        <v>257</v>
      </c>
    </row>
    <row r="51" spans="1:5" ht="19.5">
      <c r="A51" s="37" t="str">
        <f>'5 H Y H.A. Y GGII'!A16</f>
        <v>FERNANDEZ ELISA</v>
      </c>
      <c r="B51" s="38" t="str">
        <f>'5 H Y H.A. Y GGII'!B16</f>
        <v>NGC</v>
      </c>
      <c r="C51" s="39" t="s">
        <v>10</v>
      </c>
      <c r="D51" s="40">
        <f>'5 H Y H.A. Y GGII'!C16</f>
        <v>28</v>
      </c>
      <c r="E51" s="28" t="s">
        <v>257</v>
      </c>
    </row>
    <row r="52" spans="1:5" ht="19.5">
      <c r="A52" s="37" t="str">
        <f>'5 H Y H.A. Y GGII'!A17</f>
        <v>VIRAG MATTIA</v>
      </c>
      <c r="B52" s="38" t="str">
        <f>'5 H Y H.A. Y GGII'!B17</f>
        <v>STGC</v>
      </c>
      <c r="C52" s="39" t="s">
        <v>10</v>
      </c>
      <c r="D52" s="40">
        <f>'5 H Y H.A. Y GGII'!C17</f>
        <v>30</v>
      </c>
      <c r="E52" s="28" t="s">
        <v>257</v>
      </c>
    </row>
    <row r="53" spans="1:5" ht="19.5">
      <c r="A53" s="37" t="str">
        <f>'5 H Y H.A. Y GGII'!A18</f>
        <v>COLL RUFINO</v>
      </c>
      <c r="B53" s="38" t="str">
        <f>'5 H Y H.A. Y GGII'!B18</f>
        <v>TGC</v>
      </c>
      <c r="C53" s="39" t="s">
        <v>10</v>
      </c>
      <c r="D53" s="40">
        <f>'5 H Y H.A. Y GGII'!C18</f>
        <v>30</v>
      </c>
      <c r="E53" s="28" t="s">
        <v>257</v>
      </c>
    </row>
    <row r="54" spans="1:5" ht="19.5">
      <c r="A54" s="37" t="str">
        <f>'5 H Y H.A. Y GGII'!A19</f>
        <v>DECESARE DANTE</v>
      </c>
      <c r="B54" s="38" t="str">
        <f>'5 H Y H.A. Y GGII'!B19</f>
        <v>STGC</v>
      </c>
      <c r="C54" s="39" t="s">
        <v>10</v>
      </c>
      <c r="D54" s="40">
        <f>'5 H Y H.A. Y GGII'!C19</f>
        <v>31</v>
      </c>
      <c r="E54" s="28" t="s">
        <v>257</v>
      </c>
    </row>
    <row r="55" spans="1:5" ht="19.5">
      <c r="A55" s="37" t="str">
        <f>'5 H Y H.A. Y GGII'!A20</f>
        <v>BERROETA SEGUNDO</v>
      </c>
      <c r="B55" s="38" t="str">
        <f>'5 H Y H.A. Y GGII'!B20</f>
        <v>TGC</v>
      </c>
      <c r="C55" s="39" t="s">
        <v>10</v>
      </c>
      <c r="D55" s="40">
        <f>'5 H Y H.A. Y GGII'!C20</f>
        <v>31</v>
      </c>
      <c r="E55" s="28" t="s">
        <v>257</v>
      </c>
    </row>
    <row r="56" spans="1:5" ht="19.5">
      <c r="A56" s="37" t="str">
        <f>'5 H Y H.A. Y GGII'!A21</f>
        <v>PEREZ IMANOL</v>
      </c>
      <c r="B56" s="38" t="str">
        <f>'5 H Y H.A. Y GGII'!B21</f>
        <v>STGC</v>
      </c>
      <c r="C56" s="39" t="s">
        <v>10</v>
      </c>
      <c r="D56" s="40">
        <f>'5 H Y H.A. Y GGII'!C21</f>
        <v>32</v>
      </c>
      <c r="E56" s="28" t="s">
        <v>257</v>
      </c>
    </row>
    <row r="57" spans="1:5" ht="19.5">
      <c r="A57" s="37" t="str">
        <f>'5 H Y H.A. Y GGII'!A22</f>
        <v>BERENGENO JOAQUINA</v>
      </c>
      <c r="B57" s="38" t="str">
        <f>'5 H Y H.A. Y GGII'!B22</f>
        <v>CMDP</v>
      </c>
      <c r="C57" s="39" t="s">
        <v>10</v>
      </c>
      <c r="D57" s="40">
        <f>'5 H Y H.A. Y GGII'!C22</f>
        <v>32</v>
      </c>
      <c r="E57" s="28" t="s">
        <v>257</v>
      </c>
    </row>
    <row r="58" spans="1:5" ht="19.5">
      <c r="A58" s="37" t="str">
        <f>'5 H Y H.A. Y GGII'!A23</f>
        <v>CERESETO ALVARO</v>
      </c>
      <c r="B58" s="38" t="str">
        <f>'5 H Y H.A. Y GGII'!B23</f>
        <v>TGC</v>
      </c>
      <c r="C58" s="39" t="s">
        <v>10</v>
      </c>
      <c r="D58" s="40">
        <f>'5 H Y H.A. Y GGII'!C23</f>
        <v>32</v>
      </c>
      <c r="E58" s="28" t="s">
        <v>257</v>
      </c>
    </row>
    <row r="59" spans="1:5" ht="19.5">
      <c r="A59" s="37" t="str">
        <f>'5 H Y H.A. Y GGII'!A24</f>
        <v>CANELLI ESMERALDA</v>
      </c>
      <c r="B59" s="38" t="str">
        <f>'5 H Y H.A. Y GGII'!B24</f>
        <v>NGC</v>
      </c>
      <c r="C59" s="39" t="s">
        <v>10</v>
      </c>
      <c r="D59" s="40">
        <f>'5 H Y H.A. Y GGII'!C24</f>
        <v>32</v>
      </c>
      <c r="E59" s="28" t="s">
        <v>257</v>
      </c>
    </row>
    <row r="60" spans="1:5" ht="19.5">
      <c r="A60" s="37" t="str">
        <f>'5 H Y H.A. Y GGII'!A25</f>
        <v>CAÑETE SARA</v>
      </c>
      <c r="B60" s="38" t="str">
        <f>'5 H Y H.A. Y GGII'!B25</f>
        <v>CMDP</v>
      </c>
      <c r="C60" s="39" t="s">
        <v>10</v>
      </c>
      <c r="D60" s="40">
        <f>'5 H Y H.A. Y GGII'!C25</f>
        <v>33</v>
      </c>
      <c r="E60" s="28" t="s">
        <v>257</v>
      </c>
    </row>
    <row r="61" spans="1:5" ht="19.5">
      <c r="A61" s="37" t="str">
        <f>'5 H Y H.A. Y GGII'!A26</f>
        <v>DEL CERRO JUANA</v>
      </c>
      <c r="B61" s="38" t="str">
        <f>'5 H Y H.A. Y GGII'!B26</f>
        <v>CMDP</v>
      </c>
      <c r="C61" s="39" t="s">
        <v>10</v>
      </c>
      <c r="D61" s="40">
        <f>'5 H Y H.A. Y GGII'!C26</f>
        <v>33</v>
      </c>
      <c r="E61" s="28" t="s">
        <v>257</v>
      </c>
    </row>
    <row r="62" spans="1:5" ht="19.5">
      <c r="A62" s="37" t="str">
        <f>'5 H Y H.A. Y GGII'!A27</f>
        <v>TRUEBA BENJAMIN</v>
      </c>
      <c r="B62" s="38" t="str">
        <f>'5 H Y H.A. Y GGII'!B27</f>
        <v>TGC</v>
      </c>
      <c r="C62" s="39" t="s">
        <v>10</v>
      </c>
      <c r="D62" s="40">
        <f>'5 H Y H.A. Y GGII'!C27</f>
        <v>33</v>
      </c>
      <c r="E62" s="28" t="s">
        <v>257</v>
      </c>
    </row>
    <row r="63" spans="1:5" ht="19.5">
      <c r="A63" s="37" t="str">
        <f>'5 H Y H.A. Y GGII'!A28</f>
        <v>VALLE FELIPE</v>
      </c>
      <c r="B63" s="38" t="str">
        <f>'5 H Y H.A. Y GGII'!B28</f>
        <v>TGC</v>
      </c>
      <c r="C63" s="39" t="s">
        <v>10</v>
      </c>
      <c r="D63" s="40">
        <f>'5 H Y H.A. Y GGII'!C28</f>
        <v>33</v>
      </c>
      <c r="E63" s="28" t="s">
        <v>257</v>
      </c>
    </row>
    <row r="64" spans="1:5" ht="19.5">
      <c r="A64" s="37" t="str">
        <f>'5 H Y H.A. Y GGII'!A29</f>
        <v>FARHA JULIAN</v>
      </c>
      <c r="B64" s="38" t="str">
        <f>'5 H Y H.A. Y GGII'!B29</f>
        <v>EVTGC</v>
      </c>
      <c r="C64" s="39" t="s">
        <v>10</v>
      </c>
      <c r="D64" s="40">
        <f>'5 H Y H.A. Y GGII'!C29</f>
        <v>34</v>
      </c>
      <c r="E64" s="28" t="s">
        <v>257</v>
      </c>
    </row>
    <row r="65" spans="1:5" ht="19.5">
      <c r="A65" s="37" t="str">
        <f>'5 H Y H.A. Y GGII'!A30</f>
        <v>SCOTTI ANNA</v>
      </c>
      <c r="B65" s="38" t="str">
        <f>'5 H Y H.A. Y GGII'!B30</f>
        <v>STGC</v>
      </c>
      <c r="C65" s="39" t="s">
        <v>10</v>
      </c>
      <c r="D65" s="40">
        <f>'5 H Y H.A. Y GGII'!C30</f>
        <v>34</v>
      </c>
      <c r="E65" s="28" t="s">
        <v>257</v>
      </c>
    </row>
    <row r="66" spans="1:5" ht="19.5">
      <c r="A66" s="37" t="str">
        <f>'5 H Y H.A. Y GGII'!A31</f>
        <v>PEREZ AMBAR</v>
      </c>
      <c r="B66" s="38" t="str">
        <f>'5 H Y H.A. Y GGII'!B31</f>
        <v>STGC</v>
      </c>
      <c r="C66" s="39" t="s">
        <v>10</v>
      </c>
      <c r="D66" s="40">
        <f>'5 H Y H.A. Y GGII'!C31</f>
        <v>34</v>
      </c>
      <c r="E66" s="28" t="s">
        <v>257</v>
      </c>
    </row>
    <row r="67" spans="1:5" ht="19.5">
      <c r="A67" s="37" t="str">
        <f>'5 H Y H.A. Y GGII'!A32</f>
        <v>DALMASSO JUAN CRUZ</v>
      </c>
      <c r="B67" s="38" t="str">
        <f>'5 H Y H.A. Y GGII'!B32</f>
        <v>CMDP</v>
      </c>
      <c r="C67" s="39" t="s">
        <v>10</v>
      </c>
      <c r="D67" s="40">
        <f>'5 H Y H.A. Y GGII'!C32</f>
        <v>34</v>
      </c>
      <c r="E67" s="28" t="s">
        <v>257</v>
      </c>
    </row>
    <row r="68" spans="1:5" ht="19.5">
      <c r="A68" s="37" t="str">
        <f>'5 H Y H.A. Y GGII'!A33</f>
        <v>RIVAS BAUTISTA</v>
      </c>
      <c r="B68" s="38" t="str">
        <f>'5 H Y H.A. Y GGII'!B33</f>
        <v>CMDP</v>
      </c>
      <c r="C68" s="39" t="s">
        <v>10</v>
      </c>
      <c r="D68" s="40">
        <f>'5 H Y H.A. Y GGII'!C33</f>
        <v>34</v>
      </c>
      <c r="E68" s="28" t="s">
        <v>257</v>
      </c>
    </row>
    <row r="69" spans="1:5" ht="19.5">
      <c r="A69" s="37" t="str">
        <f>'5 H Y H.A. Y GGII'!A34</f>
        <v>MARTIN JAIME</v>
      </c>
      <c r="B69" s="38" t="str">
        <f>'5 H Y H.A. Y GGII'!B34</f>
        <v>TGC</v>
      </c>
      <c r="C69" s="39" t="s">
        <v>10</v>
      </c>
      <c r="D69" s="40">
        <f>'5 H Y H.A. Y GGII'!C34</f>
        <v>34</v>
      </c>
      <c r="E69" s="28" t="s">
        <v>257</v>
      </c>
    </row>
    <row r="70" spans="1:5" ht="19.5">
      <c r="A70" s="37" t="str">
        <f>'5 H Y H.A. Y GGII'!A35</f>
        <v>STIER RENATA</v>
      </c>
      <c r="B70" s="38" t="str">
        <f>'5 H Y H.A. Y GGII'!B35</f>
        <v>SPGC</v>
      </c>
      <c r="C70" s="39" t="s">
        <v>10</v>
      </c>
      <c r="D70" s="40">
        <f>'5 H Y H.A. Y GGII'!C35</f>
        <v>34</v>
      </c>
      <c r="E70" s="28" t="s">
        <v>257</v>
      </c>
    </row>
    <row r="71" spans="1:5" ht="19.5">
      <c r="A71" s="37" t="str">
        <f>'5 H Y H.A. Y GGII'!A36</f>
        <v>JARQUE VIOLETA</v>
      </c>
      <c r="B71" s="38" t="str">
        <f>'5 H Y H.A. Y GGII'!B36</f>
        <v>EVTGC</v>
      </c>
      <c r="C71" s="39" t="s">
        <v>10</v>
      </c>
      <c r="D71" s="40">
        <f>'5 H Y H.A. Y GGII'!C36</f>
        <v>35</v>
      </c>
      <c r="E71" s="28" t="s">
        <v>257</v>
      </c>
    </row>
    <row r="72" spans="1:5" ht="19.5">
      <c r="A72" s="37" t="str">
        <f>'5 H Y H.A. Y GGII'!A37</f>
        <v>GIANERA BENJAMIN</v>
      </c>
      <c r="B72" s="38" t="str">
        <f>'5 H Y H.A. Y GGII'!B37</f>
        <v>CMDP</v>
      </c>
      <c r="C72" s="39" t="s">
        <v>10</v>
      </c>
      <c r="D72" s="40">
        <f>'5 H Y H.A. Y GGII'!C37</f>
        <v>35</v>
      </c>
      <c r="E72" s="28" t="s">
        <v>257</v>
      </c>
    </row>
    <row r="73" spans="1:5" ht="19.5">
      <c r="A73" s="37" t="str">
        <f>'5 H Y H.A. Y GGII'!A38</f>
        <v>ETCHEGOYEN JAIME</v>
      </c>
      <c r="B73" s="38" t="str">
        <f>'5 H Y H.A. Y GGII'!B38</f>
        <v>SPGC</v>
      </c>
      <c r="C73" s="39" t="s">
        <v>10</v>
      </c>
      <c r="D73" s="40">
        <f>'5 H Y H.A. Y GGII'!C38</f>
        <v>35</v>
      </c>
      <c r="E73" s="28" t="s">
        <v>257</v>
      </c>
    </row>
    <row r="74" spans="1:5" ht="19.5">
      <c r="A74" s="37" t="str">
        <f>'5 H Y H.A. Y GGII'!A39</f>
        <v>MUNAR FELIX</v>
      </c>
      <c r="B74" s="38" t="str">
        <f>'5 H Y H.A. Y GGII'!B39</f>
        <v>TGC</v>
      </c>
      <c r="C74" s="39" t="s">
        <v>10</v>
      </c>
      <c r="D74" s="40">
        <f>'5 H Y H.A. Y GGII'!C39</f>
        <v>35</v>
      </c>
      <c r="E74" s="28" t="s">
        <v>257</v>
      </c>
    </row>
    <row r="75" spans="1:5" ht="19.5">
      <c r="A75" s="37" t="str">
        <f>'5 H Y H.A. Y GGII'!A40</f>
        <v>ABETTE DANTE</v>
      </c>
      <c r="B75" s="38" t="str">
        <f>'5 H Y H.A. Y GGII'!B40</f>
        <v>TGC</v>
      </c>
      <c r="C75" s="39" t="s">
        <v>10</v>
      </c>
      <c r="D75" s="40">
        <f>'5 H Y H.A. Y GGII'!C40</f>
        <v>35</v>
      </c>
      <c r="E75" s="28" t="s">
        <v>257</v>
      </c>
    </row>
    <row r="76" spans="1:5" ht="19.5">
      <c r="A76" s="37" t="str">
        <f>'5 H Y H.A. Y GGII'!A41</f>
        <v>BAUTISTA HAUN</v>
      </c>
      <c r="B76" s="38" t="str">
        <f>'5 H Y H.A. Y GGII'!B41</f>
        <v>NGC</v>
      </c>
      <c r="C76" s="39" t="s">
        <v>10</v>
      </c>
      <c r="D76" s="40">
        <f>'5 H Y H.A. Y GGII'!C41</f>
        <v>35</v>
      </c>
      <c r="E76" s="28" t="s">
        <v>257</v>
      </c>
    </row>
    <row r="77" spans="1:5" ht="19.5">
      <c r="A77" s="37" t="str">
        <f>'5 H Y H.A. Y GGII'!A42</f>
        <v>FARHA ALBERTINA</v>
      </c>
      <c r="B77" s="38" t="str">
        <f>'5 H Y H.A. Y GGII'!B42</f>
        <v>EVTGC</v>
      </c>
      <c r="C77" s="39" t="s">
        <v>10</v>
      </c>
      <c r="D77" s="40">
        <f>'5 H Y H.A. Y GGII'!C42</f>
        <v>36</v>
      </c>
      <c r="E77" s="28" t="s">
        <v>257</v>
      </c>
    </row>
    <row r="78" spans="1:5" ht="19.5">
      <c r="A78" s="37" t="str">
        <f>'5 H Y H.A. Y GGII'!A43</f>
        <v>MOLINA SOL</v>
      </c>
      <c r="B78" s="38" t="str">
        <f>'5 H Y H.A. Y GGII'!B43</f>
        <v>CMDP</v>
      </c>
      <c r="C78" s="39" t="s">
        <v>10</v>
      </c>
      <c r="D78" s="40">
        <f>'5 H Y H.A. Y GGII'!C43</f>
        <v>36</v>
      </c>
      <c r="E78" s="28" t="s">
        <v>257</v>
      </c>
    </row>
    <row r="79" spans="1:5" ht="19.5">
      <c r="A79" s="37" t="str">
        <f>'5 H Y H.A. Y GGII'!A44</f>
        <v>MUNIN ECKERL JUAN IGNACIO</v>
      </c>
      <c r="B79" s="38" t="str">
        <f>'5 H Y H.A. Y GGII'!B44</f>
        <v>CMDP</v>
      </c>
      <c r="C79" s="39" t="s">
        <v>10</v>
      </c>
      <c r="D79" s="40">
        <f>'5 H Y H.A. Y GGII'!C44</f>
        <v>36</v>
      </c>
      <c r="E79" s="28" t="s">
        <v>257</v>
      </c>
    </row>
    <row r="80" spans="1:5" ht="19.5">
      <c r="A80" s="37" t="str">
        <f>'5 H Y H.A. Y GGII'!A45</f>
        <v>DE ZUBIZARRETA MATEO</v>
      </c>
      <c r="B80" s="38" t="str">
        <f>'5 H Y H.A. Y GGII'!B45</f>
        <v>TGC</v>
      </c>
      <c r="C80" s="39" t="s">
        <v>10</v>
      </c>
      <c r="D80" s="40">
        <f>'5 H Y H.A. Y GGII'!C45</f>
        <v>36</v>
      </c>
      <c r="E80" s="28" t="s">
        <v>257</v>
      </c>
    </row>
    <row r="81" spans="1:5" ht="19.5">
      <c r="A81" s="37" t="str">
        <f>'5 H Y H.A. Y GGII'!A46</f>
        <v>GIANERA GERONIMO</v>
      </c>
      <c r="B81" s="38" t="str">
        <f>'5 H Y H.A. Y GGII'!B46</f>
        <v>CMDP</v>
      </c>
      <c r="C81" s="39" t="s">
        <v>10</v>
      </c>
      <c r="D81" s="40">
        <f>'5 H Y H.A. Y GGII'!C46</f>
        <v>38</v>
      </c>
      <c r="E81" s="28" t="s">
        <v>257</v>
      </c>
    </row>
    <row r="82" spans="1:5" ht="19.5">
      <c r="A82" s="37" t="str">
        <f>'5 H Y H.A. Y GGII'!A47</f>
        <v>FELICE JUAN</v>
      </c>
      <c r="B82" s="38" t="str">
        <f>'5 H Y H.A. Y GGII'!B47</f>
        <v>TGC</v>
      </c>
      <c r="C82" s="39" t="s">
        <v>10</v>
      </c>
      <c r="D82" s="40">
        <f>'5 H Y H.A. Y GGII'!C47</f>
        <v>39</v>
      </c>
      <c r="E82" s="28" t="s">
        <v>257</v>
      </c>
    </row>
    <row r="83" spans="1:5" ht="19.5">
      <c r="A83" s="37" t="str">
        <f>'5 H Y H.A. Y GGII'!A48</f>
        <v>VALLE ANTONIA</v>
      </c>
      <c r="B83" s="38" t="str">
        <f>'5 H Y H.A. Y GGII'!B48</f>
        <v>TGC</v>
      </c>
      <c r="C83" s="39" t="s">
        <v>10</v>
      </c>
      <c r="D83" s="40">
        <f>'5 H Y H.A. Y GGII'!C48</f>
        <v>39</v>
      </c>
      <c r="E83" s="28" t="s">
        <v>257</v>
      </c>
    </row>
    <row r="84" spans="1:5" ht="19.5">
      <c r="A84" s="37" t="str">
        <f>'5 H Y H.A. Y GGII'!A49</f>
        <v>SANTANA MORA</v>
      </c>
      <c r="B84" s="38" t="str">
        <f>'5 H Y H.A. Y GGII'!B49</f>
        <v>SPGC</v>
      </c>
      <c r="C84" s="39" t="s">
        <v>10</v>
      </c>
      <c r="D84" s="40">
        <f>'5 H Y H.A. Y GGII'!C49</f>
        <v>39</v>
      </c>
      <c r="E84" s="28" t="s">
        <v>257</v>
      </c>
    </row>
    <row r="85" spans="1:5" ht="19.5">
      <c r="A85" s="37" t="str">
        <f>'5 H Y H.A. Y GGII'!A50</f>
        <v>PASTOR INDIANA</v>
      </c>
      <c r="B85" s="38" t="str">
        <f>'5 H Y H.A. Y GGII'!B50</f>
        <v>CMDP</v>
      </c>
      <c r="C85" s="39" t="s">
        <v>10</v>
      </c>
      <c r="D85" s="40">
        <f>'5 H Y H.A. Y GGII'!C50</f>
        <v>40</v>
      </c>
      <c r="E85" s="28" t="s">
        <v>257</v>
      </c>
    </row>
    <row r="86" spans="1:5" ht="19.5">
      <c r="A86" s="37" t="str">
        <f>'5 H Y H.A. Y GGII'!A51</f>
        <v>HELLMUND CAMILO</v>
      </c>
      <c r="B86" s="38" t="str">
        <f>'5 H Y H.A. Y GGII'!B51</f>
        <v>TGC</v>
      </c>
      <c r="C86" s="39" t="s">
        <v>10</v>
      </c>
      <c r="D86" s="40">
        <f>'5 H Y H.A. Y GGII'!C51</f>
        <v>40</v>
      </c>
      <c r="E86" s="28" t="s">
        <v>257</v>
      </c>
    </row>
    <row r="87" spans="1:5" ht="19.5">
      <c r="A87" s="37" t="str">
        <f>'5 H Y H.A. Y GGII'!A52</f>
        <v>MONTES VALENTIN</v>
      </c>
      <c r="B87" s="38" t="str">
        <f>'5 H Y H.A. Y GGII'!B52</f>
        <v>TGC</v>
      </c>
      <c r="C87" s="39" t="s">
        <v>10</v>
      </c>
      <c r="D87" s="40">
        <f>'5 H Y H.A. Y GGII'!C52</f>
        <v>40</v>
      </c>
      <c r="E87" s="28" t="s">
        <v>257</v>
      </c>
    </row>
    <row r="88" spans="1:5" ht="19.5">
      <c r="A88" s="37" t="str">
        <f>'5 H Y H.A. Y GGII'!A53</f>
        <v>DEFERRARI SEGUNDO</v>
      </c>
      <c r="B88" s="38" t="str">
        <f>'5 H Y H.A. Y GGII'!B53</f>
        <v>TGC</v>
      </c>
      <c r="C88" s="39" t="s">
        <v>10</v>
      </c>
      <c r="D88" s="40">
        <f>'5 H Y H.A. Y GGII'!C53</f>
        <v>40</v>
      </c>
      <c r="E88" s="28" t="s">
        <v>257</v>
      </c>
    </row>
    <row r="89" spans="1:5" ht="19.5">
      <c r="A89" s="37" t="str">
        <f>'5 H Y H.A. Y GGII'!A54</f>
        <v>CAMILO LATORRACA</v>
      </c>
      <c r="B89" s="38" t="str">
        <f>'5 H Y H.A. Y GGII'!B54</f>
        <v>NGC</v>
      </c>
      <c r="C89" s="39" t="s">
        <v>10</v>
      </c>
      <c r="D89" s="40">
        <f>'5 H Y H.A. Y GGII'!C54</f>
        <v>40</v>
      </c>
      <c r="E89" s="28" t="s">
        <v>257</v>
      </c>
    </row>
    <row r="90" spans="1:5" ht="19.5">
      <c r="A90" s="37" t="str">
        <f>'5 H Y H.A. Y GGII'!A55</f>
        <v>EIREA GASPAR</v>
      </c>
      <c r="B90" s="38" t="str">
        <f>'5 H Y H.A. Y GGII'!B55</f>
        <v>CMDP</v>
      </c>
      <c r="C90" s="39" t="s">
        <v>10</v>
      </c>
      <c r="D90" s="40">
        <f>'5 H Y H.A. Y GGII'!C55</f>
        <v>41</v>
      </c>
      <c r="E90" s="28" t="s">
        <v>257</v>
      </c>
    </row>
    <row r="91" spans="1:5" ht="19.5">
      <c r="A91" s="37" t="str">
        <f>'5 H Y H.A. Y GGII'!A56</f>
        <v>MONJE ANIL</v>
      </c>
      <c r="B91" s="38" t="str">
        <f>'5 H Y H.A. Y GGII'!B56</f>
        <v>SPGC</v>
      </c>
      <c r="C91" s="39" t="s">
        <v>10</v>
      </c>
      <c r="D91" s="40">
        <f>'5 H Y H.A. Y GGII'!C56</f>
        <v>41</v>
      </c>
      <c r="E91" s="28" t="s">
        <v>257</v>
      </c>
    </row>
    <row r="92" spans="1:5" ht="19.5">
      <c r="A92" s="37" t="str">
        <f>'5 H Y H.A. Y GGII'!A57</f>
        <v>VEGA GERMAN</v>
      </c>
      <c r="B92" s="38" t="str">
        <f>'5 H Y H.A. Y GGII'!B57</f>
        <v>SPGC</v>
      </c>
      <c r="C92" s="39" t="s">
        <v>10</v>
      </c>
      <c r="D92" s="40">
        <f>'5 H Y H.A. Y GGII'!C57</f>
        <v>41</v>
      </c>
      <c r="E92" s="28" t="s">
        <v>257</v>
      </c>
    </row>
    <row r="93" spans="1:5" ht="19.5">
      <c r="A93" s="37" t="str">
        <f>'5 H Y H.A. Y GGII'!A58</f>
        <v>SORRIBAS DELFINA</v>
      </c>
      <c r="B93" s="38" t="str">
        <f>'5 H Y H.A. Y GGII'!B58</f>
        <v>CMDP</v>
      </c>
      <c r="C93" s="39" t="s">
        <v>10</v>
      </c>
      <c r="D93" s="40">
        <f>'5 H Y H.A. Y GGII'!C58</f>
        <v>42</v>
      </c>
      <c r="E93" s="28" t="s">
        <v>257</v>
      </c>
    </row>
    <row r="94" spans="1:5" ht="19.5">
      <c r="A94" s="37" t="str">
        <f>'5 H Y H.A. Y GGII'!A59</f>
        <v>SANTANA AUGUSTO</v>
      </c>
      <c r="B94" s="38" t="str">
        <f>'5 H Y H.A. Y GGII'!B59</f>
        <v>SPGC</v>
      </c>
      <c r="C94" s="39" t="s">
        <v>10</v>
      </c>
      <c r="D94" s="40">
        <f>'5 H Y H.A. Y GGII'!C59</f>
        <v>42</v>
      </c>
      <c r="E94" s="28" t="s">
        <v>257</v>
      </c>
    </row>
    <row r="95" spans="1:5" ht="19.5">
      <c r="A95" s="37" t="str">
        <f>'5 H Y H.A. Y GGII'!A60</f>
        <v>POLITA NUÑEZ LUCIA</v>
      </c>
      <c r="B95" s="38" t="str">
        <f>'5 H Y H.A. Y GGII'!B60</f>
        <v>SPGC</v>
      </c>
      <c r="C95" s="39" t="s">
        <v>10</v>
      </c>
      <c r="D95" s="40">
        <f>'5 H Y H.A. Y GGII'!C60</f>
        <v>42</v>
      </c>
      <c r="E95" s="28" t="s">
        <v>257</v>
      </c>
    </row>
    <row r="96" spans="1:5" ht="19.5">
      <c r="A96" s="37" t="str">
        <f>'5 H Y H.A. Y GGII'!A61</f>
        <v>TRUEBA PEDRO</v>
      </c>
      <c r="B96" s="38" t="str">
        <f>'5 H Y H.A. Y GGII'!B61</f>
        <v>TGC</v>
      </c>
      <c r="C96" s="39" t="s">
        <v>10</v>
      </c>
      <c r="D96" s="40">
        <f>'5 H Y H.A. Y GGII'!C61</f>
        <v>42</v>
      </c>
      <c r="E96" s="28" t="s">
        <v>257</v>
      </c>
    </row>
    <row r="97" spans="1:5" ht="19.5">
      <c r="A97" s="37" t="str">
        <f>'5 H Y H.A. Y GGII'!A62</f>
        <v>SUAREZ OLIVIA</v>
      </c>
      <c r="B97" s="38" t="str">
        <f>'5 H Y H.A. Y GGII'!B62</f>
        <v>CMDP</v>
      </c>
      <c r="C97" s="39" t="s">
        <v>10</v>
      </c>
      <c r="D97" s="40">
        <f>'5 H Y H.A. Y GGII'!C62</f>
        <v>43</v>
      </c>
      <c r="E97" s="28" t="s">
        <v>257</v>
      </c>
    </row>
    <row r="98" spans="1:5" ht="19.5">
      <c r="A98" s="37" t="str">
        <f>'5 H Y H.A. Y GGII'!A63</f>
        <v>SILVEIRA SOFIA</v>
      </c>
      <c r="B98" s="38" t="str">
        <f>'5 H Y H.A. Y GGII'!B63</f>
        <v>CMDP</v>
      </c>
      <c r="C98" s="39" t="s">
        <v>10</v>
      </c>
      <c r="D98" s="40">
        <f>'5 H Y H.A. Y GGII'!C63</f>
        <v>44</v>
      </c>
      <c r="E98" s="28" t="s">
        <v>257</v>
      </c>
    </row>
    <row r="99" spans="1:5" ht="19.5">
      <c r="A99" s="37" t="str">
        <f>'5 H Y H.A. Y GGII'!A64</f>
        <v>FESTAIE VICTORIA</v>
      </c>
      <c r="B99" s="38" t="str">
        <f>'5 H Y H.A. Y GGII'!B64</f>
        <v>CMDP</v>
      </c>
      <c r="C99" s="39" t="s">
        <v>10</v>
      </c>
      <c r="D99" s="40">
        <f>'5 H Y H.A. Y GGII'!C64</f>
        <v>44</v>
      </c>
      <c r="E99" s="28" t="s">
        <v>257</v>
      </c>
    </row>
    <row r="100" spans="1:5" ht="19.5">
      <c r="A100" s="37" t="str">
        <f>'5 H Y H.A. Y GGII'!A65</f>
        <v>POLIFRONI CONSTANZA</v>
      </c>
      <c r="B100" s="38" t="str">
        <f>'5 H Y H.A. Y GGII'!B65</f>
        <v>TGC</v>
      </c>
      <c r="C100" s="39" t="s">
        <v>10</v>
      </c>
      <c r="D100" s="40">
        <f>'5 H Y H.A. Y GGII'!C65</f>
        <v>44</v>
      </c>
      <c r="E100" s="28" t="s">
        <v>257</v>
      </c>
    </row>
    <row r="101" spans="1:5" ht="19.5">
      <c r="A101" s="37" t="str">
        <f>'5 H Y H.A. Y GGII'!A66</f>
        <v>MARTINELLI FELICITAS</v>
      </c>
      <c r="B101" s="38" t="str">
        <f>'5 H Y H.A. Y GGII'!B66</f>
        <v>CMDP</v>
      </c>
      <c r="C101" s="39" t="s">
        <v>10</v>
      </c>
      <c r="D101" s="40">
        <f>'5 H Y H.A. Y GGII'!C66</f>
        <v>45</v>
      </c>
      <c r="E101" s="28" t="s">
        <v>257</v>
      </c>
    </row>
    <row r="102" spans="1:5" ht="19.5">
      <c r="A102" s="37" t="str">
        <f>'5 H Y H.A. Y GGII'!A67</f>
        <v>MEDINILLA MANUEL</v>
      </c>
      <c r="B102" s="38" t="str">
        <f>'5 H Y H.A. Y GGII'!B67</f>
        <v>CMDP</v>
      </c>
      <c r="C102" s="39" t="s">
        <v>10</v>
      </c>
      <c r="D102" s="40">
        <f>'5 H Y H.A. Y GGII'!C67</f>
        <v>45</v>
      </c>
      <c r="E102" s="28" t="s">
        <v>257</v>
      </c>
    </row>
    <row r="103" spans="1:5" ht="19.5">
      <c r="A103" s="37" t="str">
        <f>'5 H Y H.A. Y GGII'!A68</f>
        <v>ETCHEGOYEN CIRILO</v>
      </c>
      <c r="B103" s="38" t="str">
        <f>'5 H Y H.A. Y GGII'!B68</f>
        <v>SPGC</v>
      </c>
      <c r="C103" s="39" t="s">
        <v>10</v>
      </c>
      <c r="D103" s="40">
        <f>'5 H Y H.A. Y GGII'!C68</f>
        <v>45</v>
      </c>
      <c r="E103" s="28" t="s">
        <v>257</v>
      </c>
    </row>
    <row r="104" spans="1:5" ht="19.5">
      <c r="A104" s="37" t="str">
        <f>'5 H Y H.A. Y GGII'!A69</f>
        <v>LEOFANTI BIANCA</v>
      </c>
      <c r="B104" s="38" t="str">
        <f>'5 H Y H.A. Y GGII'!B69</f>
        <v>SPGC</v>
      </c>
      <c r="C104" s="39" t="s">
        <v>10</v>
      </c>
      <c r="D104" s="40">
        <f>'5 H Y H.A. Y GGII'!C69</f>
        <v>45</v>
      </c>
      <c r="E104" s="28" t="s">
        <v>257</v>
      </c>
    </row>
    <row r="105" spans="1:5" ht="19.5">
      <c r="A105" s="37" t="str">
        <f>'5 H Y H.A. Y GGII'!A70</f>
        <v>PARDINI FRANCO</v>
      </c>
      <c r="B105" s="38" t="str">
        <f>'5 H Y H.A. Y GGII'!B70</f>
        <v>TGC</v>
      </c>
      <c r="C105" s="39" t="s">
        <v>10</v>
      </c>
      <c r="D105" s="40">
        <f>'5 H Y H.A. Y GGII'!C70</f>
        <v>45</v>
      </c>
      <c r="E105" s="28" t="s">
        <v>257</v>
      </c>
    </row>
    <row r="106" spans="1:5" ht="19.5">
      <c r="A106" s="37" t="str">
        <f>'5 H Y H.A. Y GGII'!A71</f>
        <v>MAROLDA ISIDRO</v>
      </c>
      <c r="B106" s="38" t="str">
        <f>'5 H Y H.A. Y GGII'!B71</f>
        <v>TGC</v>
      </c>
      <c r="C106" s="39" t="s">
        <v>10</v>
      </c>
      <c r="D106" s="40">
        <f>'5 H Y H.A. Y GGII'!C71</f>
        <v>46</v>
      </c>
      <c r="E106" s="28" t="s">
        <v>257</v>
      </c>
    </row>
    <row r="107" spans="1:5" ht="19.5">
      <c r="A107" s="37" t="str">
        <f>'5 H Y H.A. Y GGII'!A72</f>
        <v>MURILLO JOAQUIN</v>
      </c>
      <c r="B107" s="38" t="str">
        <f>'5 H Y H.A. Y GGII'!B72</f>
        <v>EVTGC</v>
      </c>
      <c r="C107" s="39" t="s">
        <v>10</v>
      </c>
      <c r="D107" s="40">
        <f>'5 H Y H.A. Y GGII'!C72</f>
        <v>47</v>
      </c>
      <c r="E107" s="28" t="s">
        <v>257</v>
      </c>
    </row>
    <row r="108" spans="1:5" ht="19.5">
      <c r="A108" s="37" t="str">
        <f>'5 H Y H.A. Y GGII'!A73</f>
        <v>PIERONI ISABELLA</v>
      </c>
      <c r="B108" s="38" t="str">
        <f>'5 H Y H.A. Y GGII'!B73</f>
        <v>CMDP</v>
      </c>
      <c r="C108" s="39" t="s">
        <v>10</v>
      </c>
      <c r="D108" s="40">
        <f>'5 H Y H.A. Y GGII'!C73</f>
        <v>47</v>
      </c>
      <c r="E108" s="28" t="s">
        <v>257</v>
      </c>
    </row>
    <row r="109" spans="1:5" ht="19.5">
      <c r="A109" s="37" t="str">
        <f>'5 H Y H.A. Y GGII'!A74</f>
        <v>GODINO MAYRA</v>
      </c>
      <c r="B109" s="38" t="str">
        <f>'5 H Y H.A. Y GGII'!B74</f>
        <v>SPGC</v>
      </c>
      <c r="C109" s="39" t="s">
        <v>10</v>
      </c>
      <c r="D109" s="40">
        <f>'5 H Y H.A. Y GGII'!C74</f>
        <v>47</v>
      </c>
      <c r="E109" s="28"/>
    </row>
    <row r="110" spans="1:5" ht="19.5">
      <c r="A110" s="37" t="str">
        <f>'5 H Y H.A. Y GGII'!A75</f>
        <v>RODRIGUEZ FLORENCIA</v>
      </c>
      <c r="B110" s="38" t="str">
        <f>'5 H Y H.A. Y GGII'!B75</f>
        <v>NGC</v>
      </c>
      <c r="C110" s="39" t="s">
        <v>10</v>
      </c>
      <c r="D110" s="40">
        <f>'5 H Y H.A. Y GGII'!C75</f>
        <v>48</v>
      </c>
      <c r="E110" s="28"/>
    </row>
    <row r="111" spans="1:5" ht="19.5">
      <c r="A111" s="46"/>
      <c r="B111" s="47"/>
      <c r="C111" s="48"/>
      <c r="D111" s="149"/>
      <c r="E111" s="28"/>
    </row>
    <row r="112" spans="1:5" ht="19.5" thickBot="1">
      <c r="B112" s="7"/>
      <c r="C112" s="7"/>
      <c r="D112" s="7"/>
    </row>
    <row r="113" spans="1:5" ht="20.25" thickBot="1">
      <c r="A113" s="204" t="s">
        <v>324</v>
      </c>
      <c r="B113" s="205"/>
      <c r="C113" s="205"/>
      <c r="D113" s="206"/>
    </row>
    <row r="114" spans="1:5" ht="20.25" thickBot="1">
      <c r="A114" s="4" t="s">
        <v>0</v>
      </c>
      <c r="B114" s="4" t="s">
        <v>9</v>
      </c>
      <c r="C114" s="42" t="s">
        <v>10</v>
      </c>
      <c r="D114" s="4" t="s">
        <v>22</v>
      </c>
    </row>
    <row r="115" spans="1:5" ht="20.25" thickBot="1">
      <c r="A115" s="158" t="str">
        <f>'5 H Y H.A. Y GGII'!A88</f>
        <v>NASSR MARTIN</v>
      </c>
      <c r="B115" s="159" t="str">
        <f>'5 H Y H.A. Y GGII'!B88</f>
        <v>MDPGC</v>
      </c>
      <c r="C115" s="160" t="s">
        <v>10</v>
      </c>
      <c r="D115" s="161">
        <f>'5 H Y H.A. Y GGII'!C88</f>
        <v>34</v>
      </c>
      <c r="E115" s="28" t="s">
        <v>257</v>
      </c>
    </row>
    <row r="116" spans="1:5">
      <c r="B116" s="7"/>
      <c r="C116" s="7"/>
      <c r="D116" s="7"/>
    </row>
    <row r="117" spans="1:5">
      <c r="B117" s="7"/>
      <c r="C117" s="7"/>
      <c r="D117" s="7"/>
    </row>
    <row r="118" spans="1:5">
      <c r="B118" s="7"/>
      <c r="C118" s="7"/>
      <c r="D118" s="7"/>
    </row>
    <row r="119" spans="1:5">
      <c r="B119" s="7"/>
      <c r="C119" s="7"/>
      <c r="D119" s="7"/>
    </row>
    <row r="120" spans="1:5">
      <c r="B120" s="7"/>
      <c r="C120" s="7"/>
      <c r="D120" s="7"/>
    </row>
    <row r="121" spans="1:5">
      <c r="B121" s="7"/>
      <c r="C121" s="7"/>
      <c r="D121" s="7"/>
    </row>
    <row r="122" spans="1:5">
      <c r="B122" s="7"/>
      <c r="C122" s="7"/>
      <c r="D122" s="7"/>
    </row>
    <row r="123" spans="1:5">
      <c r="B123" s="7"/>
      <c r="C123" s="7"/>
      <c r="D123" s="7"/>
    </row>
  </sheetData>
  <mergeCells count="15">
    <mergeCell ref="A113:D113"/>
    <mergeCell ref="A43:D43"/>
    <mergeCell ref="A1:D1"/>
    <mergeCell ref="A2:D2"/>
    <mergeCell ref="A3:D3"/>
    <mergeCell ref="A4:D4"/>
    <mergeCell ref="A5:D5"/>
    <mergeCell ref="A28:D28"/>
    <mergeCell ref="A33:D33"/>
    <mergeCell ref="A38:D38"/>
    <mergeCell ref="A6:D6"/>
    <mergeCell ref="A8:D8"/>
    <mergeCell ref="A13:D13"/>
    <mergeCell ref="A18:D18"/>
    <mergeCell ref="A23:D23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9"/>
  <sheetViews>
    <sheetView workbookViewId="0"/>
  </sheetViews>
  <sheetFormatPr baseColWidth="10" defaultRowHeight="25.5"/>
  <cols>
    <col min="1" max="1" width="32.42578125" style="77" bestFit="1" customWidth="1"/>
    <col min="2" max="2" width="23.28515625" style="77" bestFit="1" customWidth="1"/>
    <col min="3" max="4" width="11.42578125" style="77"/>
    <col min="5" max="5" width="32.42578125" style="77" bestFit="1" customWidth="1"/>
    <col min="6" max="6" width="23.7109375" style="77" bestFit="1" customWidth="1"/>
    <col min="7" max="16384" width="11.42578125" style="77"/>
  </cols>
  <sheetData>
    <row r="1" spans="1:6" ht="26.25">
      <c r="A1" s="81" t="s">
        <v>55</v>
      </c>
      <c r="B1" s="81" t="s">
        <v>56</v>
      </c>
      <c r="E1" s="81" t="s">
        <v>55</v>
      </c>
      <c r="F1" s="81" t="s">
        <v>63</v>
      </c>
    </row>
    <row r="2" spans="1:6">
      <c r="A2" s="79" t="s">
        <v>41</v>
      </c>
      <c r="B2" s="174">
        <v>4</v>
      </c>
      <c r="E2" s="79" t="s">
        <v>41</v>
      </c>
      <c r="F2" s="78">
        <v>3</v>
      </c>
    </row>
    <row r="3" spans="1:6">
      <c r="A3" s="79" t="s">
        <v>44</v>
      </c>
      <c r="B3" s="174">
        <v>11</v>
      </c>
      <c r="E3" s="79" t="s">
        <v>44</v>
      </c>
      <c r="F3" s="78">
        <v>1</v>
      </c>
    </row>
    <row r="4" spans="1:6">
      <c r="A4" s="79" t="s">
        <v>42</v>
      </c>
      <c r="B4" s="174">
        <v>6</v>
      </c>
      <c r="E4" s="79" t="s">
        <v>42</v>
      </c>
      <c r="F4" s="78">
        <v>5</v>
      </c>
    </row>
    <row r="5" spans="1:6">
      <c r="A5" s="79" t="s">
        <v>45</v>
      </c>
      <c r="B5" s="174">
        <v>6</v>
      </c>
      <c r="E5" s="79" t="s">
        <v>45</v>
      </c>
      <c r="F5" s="78">
        <v>5</v>
      </c>
    </row>
    <row r="6" spans="1:6">
      <c r="A6" s="79" t="s">
        <v>43</v>
      </c>
      <c r="B6" s="174">
        <v>14</v>
      </c>
      <c r="E6" s="79" t="s">
        <v>43</v>
      </c>
      <c r="F6" s="78">
        <v>5</v>
      </c>
    </row>
    <row r="7" spans="1:6">
      <c r="A7" s="79" t="s">
        <v>46</v>
      </c>
      <c r="B7" s="174">
        <v>8</v>
      </c>
      <c r="E7" s="79" t="s">
        <v>46</v>
      </c>
      <c r="F7" s="78">
        <v>4</v>
      </c>
    </row>
    <row r="8" spans="1:6">
      <c r="A8" s="79" t="s">
        <v>47</v>
      </c>
      <c r="B8" s="174">
        <v>6</v>
      </c>
      <c r="E8" s="79" t="s">
        <v>47</v>
      </c>
      <c r="F8" s="78">
        <v>2</v>
      </c>
    </row>
    <row r="9" spans="1:6">
      <c r="A9" s="79" t="s">
        <v>48</v>
      </c>
      <c r="B9" s="78">
        <v>11</v>
      </c>
      <c r="E9" s="79" t="s">
        <v>48</v>
      </c>
      <c r="F9" s="78">
        <v>1</v>
      </c>
    </row>
    <row r="10" spans="1:6">
      <c r="A10" s="79" t="s">
        <v>49</v>
      </c>
      <c r="B10" s="78">
        <v>3</v>
      </c>
      <c r="E10" s="79" t="s">
        <v>49</v>
      </c>
      <c r="F10" s="78">
        <v>0</v>
      </c>
    </row>
    <row r="11" spans="1:6">
      <c r="A11" s="79" t="s">
        <v>50</v>
      </c>
      <c r="B11" s="78">
        <v>17</v>
      </c>
      <c r="E11" s="79" t="s">
        <v>50</v>
      </c>
      <c r="F11" s="78">
        <v>4</v>
      </c>
    </row>
    <row r="12" spans="1:6">
      <c r="A12" s="79" t="s">
        <v>51</v>
      </c>
      <c r="B12" s="78">
        <v>21</v>
      </c>
      <c r="E12" s="79" t="s">
        <v>51</v>
      </c>
      <c r="F12" s="78">
        <v>5</v>
      </c>
    </row>
    <row r="13" spans="1:6">
      <c r="A13" s="79" t="s">
        <v>52</v>
      </c>
      <c r="B13" s="78">
        <v>12</v>
      </c>
      <c r="E13" s="79" t="s">
        <v>52</v>
      </c>
      <c r="F13" s="78">
        <v>6</v>
      </c>
    </row>
    <row r="14" spans="1:6">
      <c r="A14" s="79" t="s">
        <v>53</v>
      </c>
      <c r="B14" s="78">
        <v>10</v>
      </c>
      <c r="E14" s="79" t="s">
        <v>53</v>
      </c>
      <c r="F14" s="78">
        <v>3</v>
      </c>
    </row>
    <row r="15" spans="1:6">
      <c r="A15" s="79" t="s">
        <v>54</v>
      </c>
      <c r="B15" s="78">
        <v>66</v>
      </c>
      <c r="E15" s="79" t="s">
        <v>54</v>
      </c>
      <c r="F15" s="78">
        <v>8</v>
      </c>
    </row>
    <row r="16" spans="1:6">
      <c r="A16" s="79" t="s">
        <v>325</v>
      </c>
      <c r="B16" s="78">
        <v>1</v>
      </c>
      <c r="E16" s="79" t="s">
        <v>325</v>
      </c>
      <c r="F16" s="78">
        <v>0</v>
      </c>
    </row>
    <row r="17" spans="1:6" ht="26.25">
      <c r="A17" s="80" t="s">
        <v>8</v>
      </c>
      <c r="B17" s="80">
        <f>SUM(B2:B16)</f>
        <v>196</v>
      </c>
      <c r="E17" s="80" t="s">
        <v>8</v>
      </c>
      <c r="F17" s="80">
        <f>SUM(F2:F16)</f>
        <v>52</v>
      </c>
    </row>
    <row r="18" spans="1:6" ht="26.25" thickBot="1"/>
    <row r="19" spans="1:6" ht="26.25" customHeight="1" thickBot="1">
      <c r="A19" s="208" t="s">
        <v>327</v>
      </c>
      <c r="B19" s="209"/>
      <c r="C19" s="209"/>
      <c r="D19" s="209"/>
      <c r="E19" s="210"/>
      <c r="F19" s="175" t="s">
        <v>326</v>
      </c>
    </row>
  </sheetData>
  <mergeCells count="1">
    <mergeCell ref="A19:E1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zoomScale="70" zoomScaleNormal="70" workbookViewId="0">
      <selection sqref="A1:H1"/>
    </sheetView>
  </sheetViews>
  <sheetFormatPr baseColWidth="10" defaultRowHeight="18.75"/>
  <cols>
    <col min="1" max="1" width="28.7109375" style="1" customWidth="1"/>
    <col min="2" max="2" width="7.7109375" style="18" bestFit="1" customWidth="1"/>
    <col min="3" max="3" width="10.7109375" style="18" customWidth="1"/>
    <col min="4" max="8" width="6.7109375" style="2" customWidth="1"/>
    <col min="9" max="9" width="11.28515625" style="2" bestFit="1" customWidth="1"/>
    <col min="10" max="10" width="6.140625" style="2" bestFit="1" customWidth="1"/>
    <col min="11" max="11" width="3.85546875" style="1" bestFit="1" customWidth="1"/>
    <col min="12" max="16384" width="11.42578125" style="1"/>
  </cols>
  <sheetData>
    <row r="1" spans="1:11" ht="30.75">
      <c r="A1" s="180" t="str">
        <f>JUV!A1</f>
        <v>3° TORNEO VIRTUAL</v>
      </c>
      <c r="B1" s="180"/>
      <c r="C1" s="180"/>
      <c r="D1" s="180"/>
      <c r="E1" s="180"/>
      <c r="F1" s="180"/>
      <c r="G1" s="180"/>
      <c r="H1" s="180"/>
      <c r="I1" s="83"/>
      <c r="J1" s="83"/>
    </row>
    <row r="2" spans="1:11" ht="23.25">
      <c r="A2" s="184" t="str">
        <f>JUV!A2</f>
        <v>CLUBES DE LA FEDERACION</v>
      </c>
      <c r="B2" s="184"/>
      <c r="C2" s="184"/>
      <c r="D2" s="184"/>
      <c r="E2" s="184"/>
      <c r="F2" s="184"/>
      <c r="G2" s="184"/>
      <c r="H2" s="184"/>
      <c r="I2" s="87"/>
      <c r="J2" s="87"/>
    </row>
    <row r="3" spans="1:11" ht="19.5">
      <c r="A3" s="181" t="s">
        <v>7</v>
      </c>
      <c r="B3" s="181"/>
      <c r="C3" s="181"/>
      <c r="D3" s="181"/>
      <c r="E3" s="181"/>
      <c r="F3" s="181"/>
      <c r="G3" s="181"/>
      <c r="H3" s="181"/>
      <c r="I3" s="1"/>
      <c r="J3" s="1"/>
    </row>
    <row r="4" spans="1:11" ht="26.25">
      <c r="A4" s="182" t="s">
        <v>11</v>
      </c>
      <c r="B4" s="182"/>
      <c r="C4" s="182"/>
      <c r="D4" s="182"/>
      <c r="E4" s="182"/>
      <c r="F4" s="182"/>
      <c r="G4" s="182"/>
      <c r="H4" s="182"/>
      <c r="I4" s="85"/>
      <c r="J4" s="85"/>
    </row>
    <row r="5" spans="1:11" ht="19.5">
      <c r="A5" s="183" t="str">
        <f>JUV!A5</f>
        <v>DOS VUELTAS DE 9 HOYOS MEDAL PLAY</v>
      </c>
      <c r="B5" s="183"/>
      <c r="C5" s="183"/>
      <c r="D5" s="183"/>
      <c r="E5" s="183"/>
      <c r="F5" s="183"/>
      <c r="G5" s="183"/>
      <c r="H5" s="183"/>
      <c r="I5" s="86"/>
      <c r="J5" s="86"/>
    </row>
    <row r="6" spans="1:11" ht="19.5">
      <c r="A6" s="179" t="str">
        <f>JUV!A6</f>
        <v>07 AL 11 DE NOVIEMBRE DE 2020</v>
      </c>
      <c r="B6" s="179"/>
      <c r="C6" s="179"/>
      <c r="D6" s="179"/>
      <c r="E6" s="179"/>
      <c r="F6" s="179"/>
      <c r="G6" s="179"/>
      <c r="H6" s="179"/>
      <c r="I6" s="82"/>
      <c r="J6" s="82"/>
    </row>
    <row r="7" spans="1:11" ht="19.5">
      <c r="A7" s="59"/>
      <c r="B7" s="109"/>
      <c r="C7" s="109"/>
      <c r="D7" s="59"/>
      <c r="E7" s="59"/>
      <c r="F7" s="59"/>
      <c r="G7" s="59"/>
      <c r="H7" s="59"/>
      <c r="I7" s="82"/>
      <c r="J7" s="82"/>
    </row>
    <row r="8" spans="1:11" ht="20.25" thickBot="1">
      <c r="A8" s="185" t="str">
        <f>JUV!A8</f>
        <v>BOCHAS BLANCAS</v>
      </c>
      <c r="B8" s="185"/>
      <c r="C8" s="185"/>
      <c r="D8" s="185"/>
      <c r="E8" s="185"/>
      <c r="F8" s="185"/>
      <c r="G8" s="185"/>
      <c r="H8" s="185"/>
      <c r="I8" s="1"/>
      <c r="J8" s="1"/>
    </row>
    <row r="9" spans="1:11" ht="20.25" thickBot="1">
      <c r="A9" s="189" t="s">
        <v>25</v>
      </c>
      <c r="B9" s="190"/>
      <c r="C9" s="190"/>
      <c r="D9" s="190"/>
      <c r="E9" s="190"/>
      <c r="F9" s="190"/>
      <c r="G9" s="190"/>
      <c r="H9" s="191"/>
      <c r="I9" s="129" t="s">
        <v>57</v>
      </c>
      <c r="J9" s="130" t="s">
        <v>59</v>
      </c>
    </row>
    <row r="10" spans="1:11" s="3" customFormat="1" ht="20.25" thickBot="1">
      <c r="A10" s="4" t="s">
        <v>0</v>
      </c>
      <c r="B10" s="110" t="s">
        <v>9</v>
      </c>
      <c r="C10" s="110" t="s">
        <v>19</v>
      </c>
      <c r="D10" s="4" t="s">
        <v>1</v>
      </c>
      <c r="E10" s="4" t="s">
        <v>2</v>
      </c>
      <c r="F10" s="13" t="s">
        <v>3</v>
      </c>
      <c r="G10" s="12" t="s">
        <v>4</v>
      </c>
      <c r="H10" s="14" t="s">
        <v>5</v>
      </c>
      <c r="I10" s="131" t="s">
        <v>58</v>
      </c>
      <c r="J10" s="132" t="s">
        <v>60</v>
      </c>
    </row>
    <row r="11" spans="1:11" ht="20.25" thickBot="1">
      <c r="A11" s="24" t="s">
        <v>261</v>
      </c>
      <c r="B11" s="112" t="s">
        <v>190</v>
      </c>
      <c r="C11" s="114">
        <v>38299</v>
      </c>
      <c r="D11" s="26">
        <v>0</v>
      </c>
      <c r="E11" s="22">
        <v>36</v>
      </c>
      <c r="F11" s="27">
        <v>33</v>
      </c>
      <c r="G11" s="15">
        <f t="shared" ref="G11:G16" si="0">SUM(E11:F11)</f>
        <v>69</v>
      </c>
      <c r="H11" s="108">
        <f t="shared" ref="H11:H16" si="1">SUM(G11-D11)</f>
        <v>69</v>
      </c>
      <c r="I11" s="93">
        <v>70</v>
      </c>
      <c r="J11" s="106">
        <f t="shared" ref="J11:J16" si="2">(H11-I11)</f>
        <v>-1</v>
      </c>
      <c r="K11" s="19" t="s">
        <v>18</v>
      </c>
    </row>
    <row r="12" spans="1:11" ht="20.25" thickBot="1">
      <c r="A12" s="24" t="s">
        <v>164</v>
      </c>
      <c r="B12" s="112" t="s">
        <v>163</v>
      </c>
      <c r="C12" s="114">
        <v>37583</v>
      </c>
      <c r="D12" s="26">
        <v>26</v>
      </c>
      <c r="E12" s="22">
        <f>5+5+5+4+6+6+5+6+6</f>
        <v>48</v>
      </c>
      <c r="F12" s="27">
        <f>5+6+4+7+7+3+6+5+7</f>
        <v>50</v>
      </c>
      <c r="G12" s="15">
        <f t="shared" si="0"/>
        <v>98</v>
      </c>
      <c r="H12" s="108">
        <f t="shared" si="1"/>
        <v>72</v>
      </c>
      <c r="I12" s="93">
        <v>71</v>
      </c>
      <c r="J12" s="96">
        <f t="shared" si="2"/>
        <v>1</v>
      </c>
      <c r="K12" s="19" t="s">
        <v>20</v>
      </c>
    </row>
    <row r="13" spans="1:11" ht="19.5">
      <c r="A13" s="24" t="s">
        <v>214</v>
      </c>
      <c r="B13" s="112" t="s">
        <v>190</v>
      </c>
      <c r="C13" s="114">
        <v>38133</v>
      </c>
      <c r="D13" s="26">
        <v>15</v>
      </c>
      <c r="E13" s="22">
        <v>43</v>
      </c>
      <c r="F13" s="27">
        <v>45</v>
      </c>
      <c r="G13" s="15">
        <f t="shared" si="0"/>
        <v>88</v>
      </c>
      <c r="H13" s="108">
        <f t="shared" si="1"/>
        <v>73</v>
      </c>
      <c r="I13" s="93">
        <v>71</v>
      </c>
      <c r="J13" s="96">
        <f t="shared" si="2"/>
        <v>2</v>
      </c>
    </row>
    <row r="14" spans="1:11" ht="19.5">
      <c r="A14" s="24" t="s">
        <v>213</v>
      </c>
      <c r="B14" s="112" t="s">
        <v>190</v>
      </c>
      <c r="C14" s="114">
        <v>38341</v>
      </c>
      <c r="D14" s="26">
        <v>4</v>
      </c>
      <c r="E14" s="22">
        <v>40</v>
      </c>
      <c r="F14" s="27">
        <v>38</v>
      </c>
      <c r="G14" s="15">
        <f t="shared" si="0"/>
        <v>78</v>
      </c>
      <c r="H14" s="108">
        <f t="shared" si="1"/>
        <v>74</v>
      </c>
      <c r="I14" s="93">
        <v>70</v>
      </c>
      <c r="J14" s="96">
        <f t="shared" si="2"/>
        <v>4</v>
      </c>
    </row>
    <row r="15" spans="1:11" ht="19.5">
      <c r="A15" s="24" t="s">
        <v>262</v>
      </c>
      <c r="B15" s="112" t="s">
        <v>190</v>
      </c>
      <c r="C15" s="114">
        <v>38162</v>
      </c>
      <c r="D15" s="26">
        <v>5</v>
      </c>
      <c r="E15" s="22">
        <v>40</v>
      </c>
      <c r="F15" s="27">
        <v>39</v>
      </c>
      <c r="G15" s="15">
        <f t="shared" si="0"/>
        <v>79</v>
      </c>
      <c r="H15" s="108">
        <f t="shared" si="1"/>
        <v>74</v>
      </c>
      <c r="I15" s="93">
        <v>70</v>
      </c>
      <c r="J15" s="96">
        <f t="shared" si="2"/>
        <v>4</v>
      </c>
    </row>
    <row r="16" spans="1:11" ht="19.5">
      <c r="A16" s="24" t="s">
        <v>212</v>
      </c>
      <c r="B16" s="112" t="s">
        <v>190</v>
      </c>
      <c r="C16" s="114">
        <v>37601</v>
      </c>
      <c r="D16" s="26">
        <v>6</v>
      </c>
      <c r="E16" s="22">
        <v>41</v>
      </c>
      <c r="F16" s="27">
        <v>41</v>
      </c>
      <c r="G16" s="15">
        <f t="shared" si="0"/>
        <v>82</v>
      </c>
      <c r="H16" s="108">
        <f t="shared" si="1"/>
        <v>76</v>
      </c>
      <c r="I16" s="93">
        <v>70</v>
      </c>
      <c r="J16" s="96">
        <f t="shared" si="2"/>
        <v>6</v>
      </c>
    </row>
    <row r="17" spans="1:10" ht="19.5">
      <c r="A17" s="140" t="s">
        <v>273</v>
      </c>
      <c r="B17" s="112" t="s">
        <v>161</v>
      </c>
      <c r="C17" s="114">
        <v>37316</v>
      </c>
      <c r="D17" s="26" t="s">
        <v>5</v>
      </c>
      <c r="E17" s="22" t="s">
        <v>257</v>
      </c>
      <c r="F17" s="22" t="s">
        <v>258</v>
      </c>
      <c r="G17" s="137" t="s">
        <v>10</v>
      </c>
      <c r="H17" s="138" t="s">
        <v>10</v>
      </c>
      <c r="I17" s="139" t="s">
        <v>10</v>
      </c>
      <c r="J17" s="141" t="s">
        <v>10</v>
      </c>
    </row>
    <row r="18" spans="1:10" ht="19.5">
      <c r="A18" s="140" t="s">
        <v>274</v>
      </c>
      <c r="B18" s="112" t="s">
        <v>161</v>
      </c>
      <c r="C18" s="114">
        <v>37347</v>
      </c>
      <c r="D18" s="26" t="s">
        <v>5</v>
      </c>
      <c r="E18" s="22" t="s">
        <v>257</v>
      </c>
      <c r="F18" s="22" t="s">
        <v>258</v>
      </c>
      <c r="G18" s="137" t="s">
        <v>10</v>
      </c>
      <c r="H18" s="138" t="s">
        <v>10</v>
      </c>
      <c r="I18" s="139" t="s">
        <v>10</v>
      </c>
      <c r="J18" s="141" t="s">
        <v>10</v>
      </c>
    </row>
    <row r="19" spans="1:10" ht="19.5">
      <c r="A19" s="140" t="s">
        <v>275</v>
      </c>
      <c r="B19" s="112" t="s">
        <v>235</v>
      </c>
      <c r="C19" s="114">
        <v>37747</v>
      </c>
      <c r="D19" s="26" t="s">
        <v>5</v>
      </c>
      <c r="E19" s="22" t="s">
        <v>257</v>
      </c>
      <c r="F19" s="22" t="s">
        <v>258</v>
      </c>
      <c r="G19" s="137" t="s">
        <v>10</v>
      </c>
      <c r="H19" s="138" t="s">
        <v>10</v>
      </c>
      <c r="I19" s="139" t="s">
        <v>10</v>
      </c>
      <c r="J19" s="141" t="s">
        <v>10</v>
      </c>
    </row>
    <row r="20" spans="1:10" ht="19.5">
      <c r="A20" s="140" t="s">
        <v>276</v>
      </c>
      <c r="B20" s="112" t="s">
        <v>161</v>
      </c>
      <c r="C20" s="114">
        <v>37832</v>
      </c>
      <c r="D20" s="26" t="s">
        <v>5</v>
      </c>
      <c r="E20" s="22" t="s">
        <v>257</v>
      </c>
      <c r="F20" s="22" t="s">
        <v>258</v>
      </c>
      <c r="G20" s="137" t="s">
        <v>10</v>
      </c>
      <c r="H20" s="138" t="s">
        <v>10</v>
      </c>
      <c r="I20" s="139" t="s">
        <v>10</v>
      </c>
      <c r="J20" s="141" t="s">
        <v>10</v>
      </c>
    </row>
    <row r="21" spans="1:10" ht="20.25" thickBot="1">
      <c r="A21" s="133" t="s">
        <v>277</v>
      </c>
      <c r="B21" s="120" t="s">
        <v>190</v>
      </c>
      <c r="C21" s="121">
        <v>37882</v>
      </c>
      <c r="D21" s="122" t="s">
        <v>5</v>
      </c>
      <c r="E21" s="123" t="s">
        <v>257</v>
      </c>
      <c r="F21" s="123" t="s">
        <v>258</v>
      </c>
      <c r="G21" s="142" t="s">
        <v>10</v>
      </c>
      <c r="H21" s="143" t="s">
        <v>10</v>
      </c>
      <c r="I21" s="144" t="s">
        <v>10</v>
      </c>
      <c r="J21" s="145" t="s">
        <v>10</v>
      </c>
    </row>
    <row r="35" spans="9:9">
      <c r="I35" s="2">
        <v>71</v>
      </c>
    </row>
    <row r="36" spans="9:9">
      <c r="I36" s="2">
        <v>71</v>
      </c>
    </row>
  </sheetData>
  <sortState ref="A11:J17">
    <sortCondition ref="J11:J17"/>
    <sortCondition ref="D11:D17"/>
  </sortState>
  <mergeCells count="8">
    <mergeCell ref="A8:H8"/>
    <mergeCell ref="A5:H5"/>
    <mergeCell ref="A9:H9"/>
    <mergeCell ref="A1:H1"/>
    <mergeCell ref="A2:H2"/>
    <mergeCell ref="A3:H3"/>
    <mergeCell ref="A4:H4"/>
    <mergeCell ref="A6:H6"/>
  </mergeCells>
  <phoneticPr fontId="0" type="noConversion"/>
  <conditionalFormatting sqref="J11:J16">
    <cfRule type="cellIs" dxfId="80" priority="358" operator="equal">
      <formula>0</formula>
    </cfRule>
    <cfRule type="cellIs" dxfId="79" priority="359" operator="lessThan">
      <formula>0</formula>
    </cfRule>
    <cfRule type="cellIs" dxfId="78" priority="360" operator="greaterThan">
      <formula>0</formula>
    </cfRule>
  </conditionalFormatting>
  <conditionalFormatting sqref="J17:J21">
    <cfRule type="cellIs" dxfId="77" priority="40" operator="equal">
      <formula>0</formula>
    </cfRule>
    <cfRule type="cellIs" dxfId="76" priority="41" operator="lessThan">
      <formula>0</formula>
    </cfRule>
    <cfRule type="cellIs" dxfId="75" priority="42" operator="greaterThan">
      <formula>0</formula>
    </cfRule>
  </conditionalFormatting>
  <conditionalFormatting sqref="J17">
    <cfRule type="cellIs" dxfId="74" priority="37" operator="equal">
      <formula>0</formula>
    </cfRule>
    <cfRule type="cellIs" dxfId="73" priority="38" operator="lessThan">
      <formula>0</formula>
    </cfRule>
    <cfRule type="cellIs" dxfId="72" priority="39" operator="greaterThan">
      <formula>0</formula>
    </cfRule>
  </conditionalFormatting>
  <conditionalFormatting sqref="J18">
    <cfRule type="cellIs" dxfId="71" priority="34" operator="equal">
      <formula>0</formula>
    </cfRule>
    <cfRule type="cellIs" dxfId="70" priority="35" operator="lessThan">
      <formula>0</formula>
    </cfRule>
    <cfRule type="cellIs" dxfId="69" priority="36" operator="greaterThan">
      <formula>0</formula>
    </cfRule>
  </conditionalFormatting>
  <conditionalFormatting sqref="J19">
    <cfRule type="cellIs" dxfId="68" priority="31" operator="equal">
      <formula>0</formula>
    </cfRule>
    <cfRule type="cellIs" dxfId="67" priority="32" operator="lessThan">
      <formula>0</formula>
    </cfRule>
    <cfRule type="cellIs" dxfId="66" priority="33" operator="greaterThan">
      <formula>0</formula>
    </cfRule>
  </conditionalFormatting>
  <conditionalFormatting sqref="J20">
    <cfRule type="cellIs" dxfId="65" priority="28" operator="equal">
      <formula>0</formula>
    </cfRule>
    <cfRule type="cellIs" dxfId="64" priority="29" operator="lessThan">
      <formula>0</formula>
    </cfRule>
    <cfRule type="cellIs" dxfId="63" priority="30" operator="greaterThan">
      <formula>0</formula>
    </cfRule>
  </conditionalFormatting>
  <conditionalFormatting sqref="J21">
    <cfRule type="cellIs" dxfId="62" priority="25" operator="equal">
      <formula>0</formula>
    </cfRule>
    <cfRule type="cellIs" dxfId="61" priority="26" operator="lessThan">
      <formula>0</formula>
    </cfRule>
    <cfRule type="cellIs" dxfId="60" priority="27" operator="greaterThan">
      <formula>0</formula>
    </cfRule>
  </conditionalFormatting>
  <conditionalFormatting sqref="J18:J21">
    <cfRule type="cellIs" dxfId="59" priority="22" operator="equal">
      <formula>0</formula>
    </cfRule>
    <cfRule type="cellIs" dxfId="58" priority="23" operator="lessThan">
      <formula>0</formula>
    </cfRule>
    <cfRule type="cellIs" dxfId="57" priority="24" operator="greaterThan">
      <formula>0</formula>
    </cfRule>
  </conditionalFormatting>
  <conditionalFormatting sqref="J17:J21">
    <cfRule type="cellIs" dxfId="56" priority="19" operator="equal">
      <formula>0</formula>
    </cfRule>
    <cfRule type="cellIs" dxfId="55" priority="20" operator="lessThan">
      <formula>0</formula>
    </cfRule>
    <cfRule type="cellIs" dxfId="54" priority="21" operator="greaterThan">
      <formula>0</formula>
    </cfRule>
  </conditionalFormatting>
  <conditionalFormatting sqref="J17">
    <cfRule type="cellIs" dxfId="53" priority="16" operator="equal">
      <formula>0</formula>
    </cfRule>
    <cfRule type="cellIs" dxfId="52" priority="17" operator="lessThan">
      <formula>0</formula>
    </cfRule>
    <cfRule type="cellIs" dxfId="51" priority="18" operator="greaterThan">
      <formula>0</formula>
    </cfRule>
  </conditionalFormatting>
  <conditionalFormatting sqref="J18">
    <cfRule type="cellIs" dxfId="50" priority="13" operator="equal">
      <formula>0</formula>
    </cfRule>
    <cfRule type="cellIs" dxfId="49" priority="14" operator="lessThan">
      <formula>0</formula>
    </cfRule>
    <cfRule type="cellIs" dxfId="48" priority="15" operator="greaterThan">
      <formula>0</formula>
    </cfRule>
  </conditionalFormatting>
  <conditionalFormatting sqref="J19">
    <cfRule type="cellIs" dxfId="47" priority="10" operator="equal">
      <formula>0</formula>
    </cfRule>
    <cfRule type="cellIs" dxfId="46" priority="11" operator="lessThan">
      <formula>0</formula>
    </cfRule>
    <cfRule type="cellIs" dxfId="45" priority="12" operator="greaterThan">
      <formula>0</formula>
    </cfRule>
  </conditionalFormatting>
  <conditionalFormatting sqref="J20">
    <cfRule type="cellIs" dxfId="44" priority="7" operator="equal">
      <formula>0</formula>
    </cfRule>
    <cfRule type="cellIs" dxfId="43" priority="8" operator="lessThan">
      <formula>0</formula>
    </cfRule>
    <cfRule type="cellIs" dxfId="42" priority="9" operator="greaterThan">
      <formula>0</formula>
    </cfRule>
  </conditionalFormatting>
  <conditionalFormatting sqref="J21">
    <cfRule type="cellIs" dxfId="41" priority="4" operator="equal">
      <formula>0</formula>
    </cfRule>
    <cfRule type="cellIs" dxfId="40" priority="5" operator="lessThan">
      <formula>0</formula>
    </cfRule>
    <cfRule type="cellIs" dxfId="39" priority="6" operator="greaterThan">
      <formula>0</formula>
    </cfRule>
  </conditionalFormatting>
  <conditionalFormatting sqref="J18:J21">
    <cfRule type="cellIs" dxfId="38" priority="1" operator="equal">
      <formula>0</formula>
    </cfRule>
    <cfRule type="cellIs" dxfId="37" priority="2" operator="lessThan">
      <formula>0</formula>
    </cfRule>
    <cfRule type="cellIs" dxfId="36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5"/>
  <sheetViews>
    <sheetView zoomScale="70" workbookViewId="0">
      <selection sqref="A1:H1"/>
    </sheetView>
  </sheetViews>
  <sheetFormatPr baseColWidth="10" defaultRowHeight="18.75"/>
  <cols>
    <col min="1" max="1" width="25" style="1" customWidth="1"/>
    <col min="2" max="2" width="9.7109375" style="18" bestFit="1" customWidth="1"/>
    <col min="3" max="3" width="10.7109375" style="18" bestFit="1" customWidth="1"/>
    <col min="4" max="4" width="7.85546875" style="2" bestFit="1" customWidth="1"/>
    <col min="5" max="8" width="6.7109375" style="2" customWidth="1"/>
    <col min="9" max="9" width="11.28515625" style="2" bestFit="1" customWidth="1"/>
    <col min="10" max="10" width="6.7109375" style="2" customWidth="1"/>
    <col min="11" max="11" width="4.42578125" style="1" bestFit="1" customWidth="1"/>
    <col min="12" max="16384" width="11.42578125" style="1"/>
  </cols>
  <sheetData>
    <row r="1" spans="1:11" ht="30.75">
      <c r="A1" s="180" t="str">
        <f>JUV!A1</f>
        <v>3° TORNEO VIRTUAL</v>
      </c>
      <c r="B1" s="180"/>
      <c r="C1" s="180"/>
      <c r="D1" s="180"/>
      <c r="E1" s="180"/>
      <c r="F1" s="180"/>
      <c r="G1" s="180"/>
      <c r="H1" s="180"/>
      <c r="I1" s="83"/>
      <c r="J1" s="83"/>
    </row>
    <row r="2" spans="1:11" ht="23.25">
      <c r="A2" s="184" t="str">
        <f>JUV!A2</f>
        <v>CLUBES DE LA FEDERACION</v>
      </c>
      <c r="B2" s="184"/>
      <c r="C2" s="184"/>
      <c r="D2" s="184"/>
      <c r="E2" s="184"/>
      <c r="F2" s="184"/>
      <c r="G2" s="184"/>
      <c r="H2" s="184"/>
      <c r="I2" s="87"/>
      <c r="J2" s="87"/>
    </row>
    <row r="3" spans="1:11" ht="19.5">
      <c r="A3" s="181" t="s">
        <v>7</v>
      </c>
      <c r="B3" s="181"/>
      <c r="C3" s="181"/>
      <c r="D3" s="181"/>
      <c r="E3" s="181"/>
      <c r="F3" s="181"/>
      <c r="G3" s="181"/>
      <c r="H3" s="181"/>
      <c r="I3" s="84"/>
      <c r="J3" s="84"/>
    </row>
    <row r="4" spans="1:11" ht="26.25">
      <c r="A4" s="182" t="s">
        <v>11</v>
      </c>
      <c r="B4" s="182"/>
      <c r="C4" s="182"/>
      <c r="D4" s="182"/>
      <c r="E4" s="182"/>
      <c r="F4" s="182"/>
      <c r="G4" s="182"/>
      <c r="H4" s="182"/>
      <c r="I4" s="85"/>
      <c r="J4" s="85"/>
    </row>
    <row r="5" spans="1:11" ht="19.5">
      <c r="A5" s="183" t="str">
        <f>JUV!A5</f>
        <v>DOS VUELTAS DE 9 HOYOS MEDAL PLAY</v>
      </c>
      <c r="B5" s="183"/>
      <c r="C5" s="183"/>
      <c r="D5" s="183"/>
      <c r="E5" s="183"/>
      <c r="F5" s="183"/>
      <c r="G5" s="183"/>
      <c r="H5" s="183"/>
      <c r="I5" s="86"/>
      <c r="J5" s="86"/>
    </row>
    <row r="6" spans="1:11" ht="19.5">
      <c r="A6" s="179" t="str">
        <f>JUV!A6</f>
        <v>07 AL 11 DE NOVIEMBRE DE 2020</v>
      </c>
      <c r="B6" s="179"/>
      <c r="C6" s="179"/>
      <c r="D6" s="179"/>
      <c r="E6" s="179"/>
      <c r="F6" s="179"/>
      <c r="G6" s="179"/>
      <c r="H6" s="179"/>
      <c r="I6" s="82"/>
      <c r="J6" s="82"/>
    </row>
    <row r="7" spans="1:11" ht="20.25" thickBot="1">
      <c r="A7" s="59"/>
      <c r="B7" s="109"/>
      <c r="C7" s="109"/>
      <c r="D7" s="59"/>
      <c r="E7" s="59"/>
      <c r="F7" s="59"/>
      <c r="G7" s="59"/>
      <c r="H7" s="59"/>
      <c r="I7" s="82"/>
      <c r="J7" s="82"/>
    </row>
    <row r="8" spans="1:11" ht="20.25" thickBot="1">
      <c r="A8" s="192" t="str">
        <f>JUV!A8</f>
        <v>BOCHAS BLANCAS</v>
      </c>
      <c r="B8" s="193"/>
      <c r="C8" s="193"/>
      <c r="D8" s="193"/>
      <c r="E8" s="193"/>
      <c r="F8" s="193"/>
      <c r="G8" s="193"/>
      <c r="H8" s="194"/>
      <c r="I8" s="1"/>
      <c r="J8" s="1"/>
    </row>
    <row r="9" spans="1:11" ht="20.25" thickBot="1">
      <c r="A9" s="189" t="s">
        <v>38</v>
      </c>
      <c r="B9" s="190"/>
      <c r="C9" s="190"/>
      <c r="D9" s="190"/>
      <c r="E9" s="190"/>
      <c r="F9" s="190"/>
      <c r="G9" s="190"/>
      <c r="H9" s="191"/>
      <c r="I9" s="129" t="s">
        <v>57</v>
      </c>
      <c r="J9" s="130" t="s">
        <v>59</v>
      </c>
    </row>
    <row r="10" spans="1:11" s="3" customFormat="1" ht="20.25" thickBot="1">
      <c r="A10" s="4" t="s">
        <v>0</v>
      </c>
      <c r="B10" s="110" t="s">
        <v>9</v>
      </c>
      <c r="C10" s="110" t="s">
        <v>19</v>
      </c>
      <c r="D10" s="4" t="s">
        <v>1</v>
      </c>
      <c r="E10" s="4" t="s">
        <v>2</v>
      </c>
      <c r="F10" s="13" t="s">
        <v>3</v>
      </c>
      <c r="G10" s="12" t="s">
        <v>4</v>
      </c>
      <c r="H10" s="14" t="s">
        <v>5</v>
      </c>
      <c r="I10" s="131" t="s">
        <v>58</v>
      </c>
      <c r="J10" s="132" t="s">
        <v>60</v>
      </c>
    </row>
    <row r="11" spans="1:11" ht="20.25" thickBot="1">
      <c r="A11" s="24" t="s">
        <v>165</v>
      </c>
      <c r="B11" s="112" t="s">
        <v>163</v>
      </c>
      <c r="C11" s="114">
        <v>39044</v>
      </c>
      <c r="D11" s="26">
        <v>10</v>
      </c>
      <c r="E11" s="22">
        <f>4+4+5+3+5+6+4+5+5</f>
        <v>41</v>
      </c>
      <c r="F11" s="27">
        <f>4+4+5+3+3+4+4+5+5</f>
        <v>37</v>
      </c>
      <c r="G11" s="15">
        <f t="shared" ref="G11:G24" si="0">SUM(E11:F11)</f>
        <v>78</v>
      </c>
      <c r="H11" s="108">
        <f t="shared" ref="H11:H24" si="1">SUM(G11-D11)</f>
        <v>68</v>
      </c>
      <c r="I11" s="93">
        <v>71</v>
      </c>
      <c r="J11" s="106">
        <f t="shared" ref="J11:J24" si="2">(H11-I11)</f>
        <v>-3</v>
      </c>
      <c r="K11" s="88" t="s">
        <v>61</v>
      </c>
    </row>
    <row r="12" spans="1:11" ht="20.25" thickBot="1">
      <c r="A12" s="24" t="s">
        <v>70</v>
      </c>
      <c r="B12" s="112" t="s">
        <v>74</v>
      </c>
      <c r="C12" s="114">
        <v>38872</v>
      </c>
      <c r="D12" s="26">
        <v>17</v>
      </c>
      <c r="E12" s="22">
        <f>6+5+4+5+4+5+6+4+4</f>
        <v>43</v>
      </c>
      <c r="F12" s="27">
        <f>5+5+4+4+4+6+5+6+4</f>
        <v>43</v>
      </c>
      <c r="G12" s="15">
        <f t="shared" si="0"/>
        <v>86</v>
      </c>
      <c r="H12" s="108">
        <f t="shared" si="1"/>
        <v>69</v>
      </c>
      <c r="I12" s="93">
        <v>71</v>
      </c>
      <c r="J12" s="96">
        <f t="shared" si="2"/>
        <v>-2</v>
      </c>
      <c r="K12" s="88" t="s">
        <v>62</v>
      </c>
    </row>
    <row r="13" spans="1:11" ht="19.5">
      <c r="A13" s="24" t="s">
        <v>216</v>
      </c>
      <c r="B13" s="112" t="s">
        <v>190</v>
      </c>
      <c r="C13" s="114">
        <v>38715</v>
      </c>
      <c r="D13" s="26">
        <v>7</v>
      </c>
      <c r="E13" s="22">
        <v>38</v>
      </c>
      <c r="F13" s="27">
        <v>38</v>
      </c>
      <c r="G13" s="15">
        <f t="shared" si="0"/>
        <v>76</v>
      </c>
      <c r="H13" s="108">
        <f t="shared" si="1"/>
        <v>69</v>
      </c>
      <c r="I13" s="93">
        <v>70</v>
      </c>
      <c r="J13" s="96">
        <f t="shared" si="2"/>
        <v>-1</v>
      </c>
    </row>
    <row r="14" spans="1:11" ht="19.5">
      <c r="A14" s="24" t="s">
        <v>236</v>
      </c>
      <c r="B14" s="112" t="s">
        <v>235</v>
      </c>
      <c r="C14" s="114">
        <v>38888</v>
      </c>
      <c r="D14" s="26">
        <v>8</v>
      </c>
      <c r="E14" s="22">
        <v>42</v>
      </c>
      <c r="F14" s="27">
        <v>39</v>
      </c>
      <c r="G14" s="15">
        <f t="shared" si="0"/>
        <v>81</v>
      </c>
      <c r="H14" s="108">
        <f t="shared" si="1"/>
        <v>73</v>
      </c>
      <c r="I14" s="93">
        <v>71</v>
      </c>
      <c r="J14" s="96">
        <f t="shared" si="2"/>
        <v>2</v>
      </c>
    </row>
    <row r="15" spans="1:11" ht="19.5">
      <c r="A15" s="24" t="s">
        <v>92</v>
      </c>
      <c r="B15" s="112" t="s">
        <v>90</v>
      </c>
      <c r="C15" s="114">
        <v>38658</v>
      </c>
      <c r="D15" s="26">
        <v>15</v>
      </c>
      <c r="E15" s="22">
        <f>4+5+7+3+5+4+5+5+6</f>
        <v>44</v>
      </c>
      <c r="F15" s="27">
        <f>4+4+5+7+5+3+7+3+7</f>
        <v>45</v>
      </c>
      <c r="G15" s="15">
        <f t="shared" si="0"/>
        <v>89</v>
      </c>
      <c r="H15" s="108">
        <f t="shared" si="1"/>
        <v>74</v>
      </c>
      <c r="I15" s="93">
        <v>71</v>
      </c>
      <c r="J15" s="96">
        <f t="shared" si="2"/>
        <v>3</v>
      </c>
    </row>
    <row r="16" spans="1:11" ht="19.5">
      <c r="A16" s="24" t="s">
        <v>166</v>
      </c>
      <c r="B16" s="112" t="s">
        <v>163</v>
      </c>
      <c r="C16" s="114">
        <v>38884</v>
      </c>
      <c r="D16" s="26">
        <v>1</v>
      </c>
      <c r="E16" s="22">
        <f>4+6+3+3+4+5+3+5+4</f>
        <v>37</v>
      </c>
      <c r="F16" s="27">
        <f>5+5+4+4+4+3+4+5+5</f>
        <v>39</v>
      </c>
      <c r="G16" s="15">
        <f t="shared" si="0"/>
        <v>76</v>
      </c>
      <c r="H16" s="108">
        <f t="shared" si="1"/>
        <v>75</v>
      </c>
      <c r="I16" s="93">
        <v>71</v>
      </c>
      <c r="J16" s="96">
        <f t="shared" si="2"/>
        <v>4</v>
      </c>
    </row>
    <row r="17" spans="1:10" ht="19.5">
      <c r="A17" s="24" t="s">
        <v>93</v>
      </c>
      <c r="B17" s="112" t="s">
        <v>90</v>
      </c>
      <c r="C17" s="114">
        <v>38873</v>
      </c>
      <c r="D17" s="26">
        <v>19</v>
      </c>
      <c r="E17" s="22">
        <f>5+5+5+4+8+5+4+5+3</f>
        <v>44</v>
      </c>
      <c r="F17" s="27">
        <f>7+6+5+5+5+3+5+6+8</f>
        <v>50</v>
      </c>
      <c r="G17" s="15">
        <f t="shared" si="0"/>
        <v>94</v>
      </c>
      <c r="H17" s="108">
        <f t="shared" si="1"/>
        <v>75</v>
      </c>
      <c r="I17" s="93">
        <v>71</v>
      </c>
      <c r="J17" s="96">
        <f t="shared" si="2"/>
        <v>4</v>
      </c>
    </row>
    <row r="18" spans="1:10" ht="19.5">
      <c r="A18" s="24" t="s">
        <v>215</v>
      </c>
      <c r="B18" s="112" t="s">
        <v>190</v>
      </c>
      <c r="C18" s="114">
        <v>38888</v>
      </c>
      <c r="D18" s="26">
        <v>5</v>
      </c>
      <c r="E18" s="22">
        <v>37</v>
      </c>
      <c r="F18" s="27">
        <v>43</v>
      </c>
      <c r="G18" s="15">
        <f t="shared" si="0"/>
        <v>80</v>
      </c>
      <c r="H18" s="108">
        <f t="shared" si="1"/>
        <v>75</v>
      </c>
      <c r="I18" s="93">
        <v>70</v>
      </c>
      <c r="J18" s="96">
        <f t="shared" si="2"/>
        <v>5</v>
      </c>
    </row>
    <row r="19" spans="1:10" ht="19.5">
      <c r="A19" s="24" t="s">
        <v>218</v>
      </c>
      <c r="B19" s="112" t="s">
        <v>190</v>
      </c>
      <c r="C19" s="114">
        <v>38682</v>
      </c>
      <c r="D19" s="26">
        <v>17</v>
      </c>
      <c r="E19" s="22">
        <v>44</v>
      </c>
      <c r="F19" s="27">
        <v>48</v>
      </c>
      <c r="G19" s="15">
        <f t="shared" si="0"/>
        <v>92</v>
      </c>
      <c r="H19" s="108">
        <f t="shared" si="1"/>
        <v>75</v>
      </c>
      <c r="I19" s="93">
        <v>70</v>
      </c>
      <c r="J19" s="96">
        <f t="shared" si="2"/>
        <v>5</v>
      </c>
    </row>
    <row r="20" spans="1:10" ht="19.5">
      <c r="A20" s="24" t="s">
        <v>280</v>
      </c>
      <c r="B20" s="112" t="s">
        <v>163</v>
      </c>
      <c r="C20" s="114">
        <v>38609</v>
      </c>
      <c r="D20" s="26">
        <v>9</v>
      </c>
      <c r="E20" s="22">
        <v>39</v>
      </c>
      <c r="F20" s="27">
        <v>46</v>
      </c>
      <c r="G20" s="15">
        <f t="shared" si="0"/>
        <v>85</v>
      </c>
      <c r="H20" s="108">
        <f t="shared" si="1"/>
        <v>76</v>
      </c>
      <c r="I20" s="93">
        <v>71</v>
      </c>
      <c r="J20" s="96">
        <f t="shared" si="2"/>
        <v>5</v>
      </c>
    </row>
    <row r="21" spans="1:10" ht="19.5">
      <c r="A21" s="24" t="s">
        <v>217</v>
      </c>
      <c r="B21" s="112" t="s">
        <v>190</v>
      </c>
      <c r="C21" s="114">
        <v>38874</v>
      </c>
      <c r="D21" s="26">
        <v>3</v>
      </c>
      <c r="E21" s="22">
        <v>42</v>
      </c>
      <c r="F21" s="27">
        <v>37</v>
      </c>
      <c r="G21" s="15">
        <f t="shared" si="0"/>
        <v>79</v>
      </c>
      <c r="H21" s="108">
        <f t="shared" si="1"/>
        <v>76</v>
      </c>
      <c r="I21" s="93">
        <v>70</v>
      </c>
      <c r="J21" s="96">
        <f t="shared" si="2"/>
        <v>6</v>
      </c>
    </row>
    <row r="22" spans="1:10" ht="19.5">
      <c r="A22" s="24" t="s">
        <v>108</v>
      </c>
      <c r="B22" s="112" t="s">
        <v>109</v>
      </c>
      <c r="C22" s="114">
        <v>38652</v>
      </c>
      <c r="D22" s="26">
        <v>22</v>
      </c>
      <c r="E22" s="22">
        <v>48</v>
      </c>
      <c r="F22" s="27">
        <v>54</v>
      </c>
      <c r="G22" s="15">
        <f t="shared" si="0"/>
        <v>102</v>
      </c>
      <c r="H22" s="108">
        <f t="shared" si="1"/>
        <v>80</v>
      </c>
      <c r="I22" s="93">
        <v>72</v>
      </c>
      <c r="J22" s="96">
        <f t="shared" si="2"/>
        <v>8</v>
      </c>
    </row>
    <row r="23" spans="1:10" ht="19.5">
      <c r="A23" s="24" t="s">
        <v>121</v>
      </c>
      <c r="B23" s="112" t="s">
        <v>161</v>
      </c>
      <c r="C23" s="114">
        <v>38395</v>
      </c>
      <c r="D23" s="26">
        <v>16</v>
      </c>
      <c r="E23" s="22">
        <v>45</v>
      </c>
      <c r="F23" s="27">
        <v>51</v>
      </c>
      <c r="G23" s="15">
        <f t="shared" si="0"/>
        <v>96</v>
      </c>
      <c r="H23" s="108">
        <f t="shared" si="1"/>
        <v>80</v>
      </c>
      <c r="I23" s="93">
        <v>72</v>
      </c>
      <c r="J23" s="96">
        <f t="shared" si="2"/>
        <v>8</v>
      </c>
    </row>
    <row r="24" spans="1:10" ht="19.5">
      <c r="A24" s="24" t="s">
        <v>281</v>
      </c>
      <c r="B24" s="112" t="s">
        <v>163</v>
      </c>
      <c r="C24" s="114">
        <v>38792</v>
      </c>
      <c r="D24" s="26">
        <v>5</v>
      </c>
      <c r="E24" s="22">
        <v>42</v>
      </c>
      <c r="F24" s="27">
        <v>42</v>
      </c>
      <c r="G24" s="15">
        <f t="shared" si="0"/>
        <v>84</v>
      </c>
      <c r="H24" s="108">
        <f t="shared" si="1"/>
        <v>79</v>
      </c>
      <c r="I24" s="93">
        <v>71</v>
      </c>
      <c r="J24" s="96">
        <f t="shared" si="2"/>
        <v>8</v>
      </c>
    </row>
    <row r="25" spans="1:10" ht="19.5">
      <c r="A25" s="140" t="s">
        <v>167</v>
      </c>
      <c r="B25" s="112" t="s">
        <v>163</v>
      </c>
      <c r="C25" s="114">
        <v>38395</v>
      </c>
      <c r="D25" s="26" t="s">
        <v>5</v>
      </c>
      <c r="E25" s="22" t="s">
        <v>257</v>
      </c>
      <c r="F25" s="27" t="s">
        <v>258</v>
      </c>
      <c r="G25" s="15" t="s">
        <v>10</v>
      </c>
      <c r="H25" s="108" t="s">
        <v>10</v>
      </c>
      <c r="I25" s="93" t="s">
        <v>10</v>
      </c>
      <c r="J25" s="96" t="s">
        <v>10</v>
      </c>
    </row>
    <row r="26" spans="1:10" ht="19.5">
      <c r="A26" s="140" t="s">
        <v>263</v>
      </c>
      <c r="B26" s="112" t="s">
        <v>190</v>
      </c>
      <c r="C26" s="114">
        <v>38715</v>
      </c>
      <c r="D26" s="26" t="s">
        <v>5</v>
      </c>
      <c r="E26" s="22" t="s">
        <v>257</v>
      </c>
      <c r="F26" s="27" t="s">
        <v>258</v>
      </c>
      <c r="G26" s="15" t="s">
        <v>10</v>
      </c>
      <c r="H26" s="108" t="s">
        <v>10</v>
      </c>
      <c r="I26" s="93" t="s">
        <v>10</v>
      </c>
      <c r="J26" s="96" t="s">
        <v>10</v>
      </c>
    </row>
    <row r="27" spans="1:10" ht="19.5">
      <c r="A27" s="140" t="s">
        <v>278</v>
      </c>
      <c r="B27" s="112" t="s">
        <v>235</v>
      </c>
      <c r="C27" s="114">
        <v>38469</v>
      </c>
      <c r="D27" s="26" t="s">
        <v>5</v>
      </c>
      <c r="E27" s="22" t="s">
        <v>257</v>
      </c>
      <c r="F27" s="27" t="s">
        <v>258</v>
      </c>
      <c r="G27" s="15" t="s">
        <v>10</v>
      </c>
      <c r="H27" s="108" t="s">
        <v>10</v>
      </c>
      <c r="I27" s="93" t="s">
        <v>10</v>
      </c>
      <c r="J27" s="96" t="s">
        <v>10</v>
      </c>
    </row>
    <row r="28" spans="1:10" ht="19.5">
      <c r="A28" s="140" t="s">
        <v>279</v>
      </c>
      <c r="B28" s="112" t="s">
        <v>90</v>
      </c>
      <c r="C28" s="114">
        <v>38589</v>
      </c>
      <c r="D28" s="26" t="s">
        <v>5</v>
      </c>
      <c r="E28" s="22" t="s">
        <v>257</v>
      </c>
      <c r="F28" s="27" t="s">
        <v>258</v>
      </c>
      <c r="G28" s="15" t="s">
        <v>10</v>
      </c>
      <c r="H28" s="108" t="s">
        <v>10</v>
      </c>
      <c r="I28" s="93" t="s">
        <v>10</v>
      </c>
      <c r="J28" s="96" t="s">
        <v>10</v>
      </c>
    </row>
    <row r="29" spans="1:10" ht="20.25" thickBot="1">
      <c r="A29" s="133" t="s">
        <v>283</v>
      </c>
      <c r="B29" s="120" t="s">
        <v>163</v>
      </c>
      <c r="C29" s="121">
        <v>38952</v>
      </c>
      <c r="D29" s="122" t="s">
        <v>5</v>
      </c>
      <c r="E29" s="123" t="s">
        <v>257</v>
      </c>
      <c r="F29" s="124" t="s">
        <v>258</v>
      </c>
      <c r="G29" s="125" t="s">
        <v>10</v>
      </c>
      <c r="H29" s="126" t="s">
        <v>10</v>
      </c>
      <c r="I29" s="127" t="s">
        <v>10</v>
      </c>
      <c r="J29" s="128" t="s">
        <v>10</v>
      </c>
    </row>
    <row r="30" spans="1:10" ht="19.5" thickBot="1">
      <c r="B30" s="116"/>
      <c r="C30" s="116"/>
      <c r="D30" s="1"/>
      <c r="E30" s="1"/>
      <c r="F30" s="1"/>
      <c r="G30" s="1"/>
      <c r="H30" s="1"/>
      <c r="I30" s="1"/>
      <c r="J30" s="1"/>
    </row>
    <row r="31" spans="1:10" ht="20.25" thickBot="1">
      <c r="A31" s="186" t="str">
        <f>JUV!A23</f>
        <v>BOCHAS ROJAS</v>
      </c>
      <c r="B31" s="187"/>
      <c r="C31" s="187"/>
      <c r="D31" s="187"/>
      <c r="E31" s="187"/>
      <c r="F31" s="187"/>
      <c r="G31" s="187"/>
      <c r="H31" s="188"/>
      <c r="I31" s="1"/>
      <c r="J31" s="1"/>
    </row>
    <row r="32" spans="1:10" ht="20.25" thickBot="1">
      <c r="A32" s="189" t="s">
        <v>26</v>
      </c>
      <c r="B32" s="190"/>
      <c r="C32" s="190"/>
      <c r="D32" s="190"/>
      <c r="E32" s="190"/>
      <c r="F32" s="190"/>
      <c r="G32" s="190"/>
      <c r="H32" s="191"/>
      <c r="I32" s="129" t="s">
        <v>57</v>
      </c>
      <c r="J32" s="130" t="s">
        <v>59</v>
      </c>
    </row>
    <row r="33" spans="1:11" ht="20.25" thickBot="1">
      <c r="A33" s="4" t="s">
        <v>6</v>
      </c>
      <c r="B33" s="110" t="s">
        <v>9</v>
      </c>
      <c r="C33" s="110" t="s">
        <v>19</v>
      </c>
      <c r="D33" s="4" t="s">
        <v>1</v>
      </c>
      <c r="E33" s="4" t="s">
        <v>2</v>
      </c>
      <c r="F33" s="13" t="s">
        <v>3</v>
      </c>
      <c r="G33" s="12" t="s">
        <v>4</v>
      </c>
      <c r="H33" s="14" t="s">
        <v>5</v>
      </c>
      <c r="I33" s="131" t="s">
        <v>58</v>
      </c>
      <c r="J33" s="132" t="s">
        <v>60</v>
      </c>
    </row>
    <row r="34" spans="1:11" ht="20.25" thickBot="1">
      <c r="A34" s="24" t="s">
        <v>168</v>
      </c>
      <c r="B34" s="112" t="s">
        <v>163</v>
      </c>
      <c r="C34" s="114">
        <v>38821</v>
      </c>
      <c r="D34" s="26">
        <v>17</v>
      </c>
      <c r="E34" s="22">
        <f>4+7+4+3+3+6+3+5+4</f>
        <v>39</v>
      </c>
      <c r="F34" s="27">
        <f>6+5+4+6+4+3+4+6+7</f>
        <v>45</v>
      </c>
      <c r="G34" s="15">
        <f t="shared" ref="G34:G44" si="3">SUM(E34:F34)</f>
        <v>84</v>
      </c>
      <c r="H34" s="108">
        <f t="shared" ref="H34:H44" si="4">SUM(G34-D34)</f>
        <v>67</v>
      </c>
      <c r="I34" s="93">
        <v>73</v>
      </c>
      <c r="J34" s="106">
        <f t="shared" ref="J34:J44" si="5">(H34-I34)</f>
        <v>-6</v>
      </c>
      <c r="K34" s="19" t="s">
        <v>61</v>
      </c>
    </row>
    <row r="35" spans="1:11" ht="20.25" thickBot="1">
      <c r="A35" s="24" t="s">
        <v>239</v>
      </c>
      <c r="B35" s="112" t="s">
        <v>190</v>
      </c>
      <c r="C35" s="114">
        <v>38798</v>
      </c>
      <c r="D35" s="26">
        <v>33</v>
      </c>
      <c r="E35" s="22">
        <v>51</v>
      </c>
      <c r="F35" s="27">
        <v>46</v>
      </c>
      <c r="G35" s="15">
        <f t="shared" si="3"/>
        <v>97</v>
      </c>
      <c r="H35" s="108">
        <f t="shared" si="4"/>
        <v>64</v>
      </c>
      <c r="I35" s="93">
        <v>70</v>
      </c>
      <c r="J35" s="96">
        <f t="shared" si="5"/>
        <v>-6</v>
      </c>
      <c r="K35" s="19" t="s">
        <v>62</v>
      </c>
    </row>
    <row r="36" spans="1:11" ht="19.5">
      <c r="A36" s="24" t="s">
        <v>238</v>
      </c>
      <c r="B36" s="112" t="s">
        <v>235</v>
      </c>
      <c r="C36" s="114">
        <v>38885</v>
      </c>
      <c r="D36" s="26">
        <v>26</v>
      </c>
      <c r="E36" s="22">
        <v>48</v>
      </c>
      <c r="F36" s="27">
        <v>44</v>
      </c>
      <c r="G36" s="15">
        <f t="shared" si="3"/>
        <v>92</v>
      </c>
      <c r="H36" s="108">
        <f t="shared" si="4"/>
        <v>66</v>
      </c>
      <c r="I36" s="93">
        <v>71</v>
      </c>
      <c r="J36" s="96">
        <f t="shared" si="5"/>
        <v>-5</v>
      </c>
    </row>
    <row r="37" spans="1:11" ht="19.5">
      <c r="A37" s="24" t="s">
        <v>219</v>
      </c>
      <c r="B37" s="112" t="s">
        <v>190</v>
      </c>
      <c r="C37" s="114">
        <v>39023</v>
      </c>
      <c r="D37" s="26">
        <v>36</v>
      </c>
      <c r="E37" s="22">
        <v>52</v>
      </c>
      <c r="F37" s="27">
        <v>49</v>
      </c>
      <c r="G37" s="15">
        <f t="shared" si="3"/>
        <v>101</v>
      </c>
      <c r="H37" s="108">
        <f t="shared" si="4"/>
        <v>65</v>
      </c>
      <c r="I37" s="93">
        <v>70</v>
      </c>
      <c r="J37" s="96">
        <f t="shared" si="5"/>
        <v>-5</v>
      </c>
    </row>
    <row r="38" spans="1:11" ht="19.5">
      <c r="A38" s="24" t="s">
        <v>169</v>
      </c>
      <c r="B38" s="112" t="s">
        <v>163</v>
      </c>
      <c r="C38" s="114">
        <v>38803</v>
      </c>
      <c r="D38" s="26">
        <v>13</v>
      </c>
      <c r="E38" s="22">
        <f>5+5+5+3+3+6+4+5+4</f>
        <v>40</v>
      </c>
      <c r="F38" s="27">
        <f>6+4+3+4+5+3+5+6+7</f>
        <v>43</v>
      </c>
      <c r="G38" s="15">
        <f t="shared" si="3"/>
        <v>83</v>
      </c>
      <c r="H38" s="108">
        <f t="shared" si="4"/>
        <v>70</v>
      </c>
      <c r="I38" s="93">
        <v>73</v>
      </c>
      <c r="J38" s="96">
        <f t="shared" si="5"/>
        <v>-3</v>
      </c>
    </row>
    <row r="39" spans="1:11" ht="19.5">
      <c r="A39" s="24" t="s">
        <v>220</v>
      </c>
      <c r="B39" s="112" t="s">
        <v>190</v>
      </c>
      <c r="C39" s="114">
        <v>39239</v>
      </c>
      <c r="D39" s="26">
        <v>31</v>
      </c>
      <c r="E39" s="22">
        <v>49</v>
      </c>
      <c r="F39" s="27">
        <v>52</v>
      </c>
      <c r="G39" s="15">
        <f t="shared" si="3"/>
        <v>101</v>
      </c>
      <c r="H39" s="108">
        <f t="shared" si="4"/>
        <v>70</v>
      </c>
      <c r="I39" s="93">
        <v>70</v>
      </c>
      <c r="J39" s="96">
        <f t="shared" si="5"/>
        <v>0</v>
      </c>
    </row>
    <row r="40" spans="1:11" ht="19.5">
      <c r="A40" s="24" t="s">
        <v>221</v>
      </c>
      <c r="B40" s="112" t="s">
        <v>190</v>
      </c>
      <c r="C40" s="114">
        <v>38642</v>
      </c>
      <c r="D40" s="26">
        <v>34</v>
      </c>
      <c r="E40" s="22">
        <v>48</v>
      </c>
      <c r="F40" s="27">
        <v>57</v>
      </c>
      <c r="G40" s="15">
        <f t="shared" si="3"/>
        <v>105</v>
      </c>
      <c r="H40" s="108">
        <f t="shared" si="4"/>
        <v>71</v>
      </c>
      <c r="I40" s="93">
        <v>70</v>
      </c>
      <c r="J40" s="96">
        <f t="shared" si="5"/>
        <v>1</v>
      </c>
    </row>
    <row r="41" spans="1:11" ht="19.5">
      <c r="A41" s="24" t="s">
        <v>264</v>
      </c>
      <c r="B41" s="112" t="s">
        <v>190</v>
      </c>
      <c r="C41" s="114">
        <v>38979</v>
      </c>
      <c r="D41" s="26">
        <v>17</v>
      </c>
      <c r="E41" s="22">
        <v>46</v>
      </c>
      <c r="F41" s="27">
        <v>43</v>
      </c>
      <c r="G41" s="15">
        <f t="shared" si="3"/>
        <v>89</v>
      </c>
      <c r="H41" s="108">
        <f t="shared" si="4"/>
        <v>72</v>
      </c>
      <c r="I41" s="93">
        <v>70</v>
      </c>
      <c r="J41" s="96">
        <f t="shared" si="5"/>
        <v>2</v>
      </c>
    </row>
    <row r="42" spans="1:11" ht="19.5">
      <c r="A42" s="24" t="s">
        <v>237</v>
      </c>
      <c r="B42" s="112" t="s">
        <v>235</v>
      </c>
      <c r="C42" s="114">
        <v>38411</v>
      </c>
      <c r="D42" s="26">
        <v>18</v>
      </c>
      <c r="E42" s="22">
        <v>43</v>
      </c>
      <c r="F42" s="27">
        <v>48</v>
      </c>
      <c r="G42" s="15">
        <f t="shared" si="3"/>
        <v>91</v>
      </c>
      <c r="H42" s="108">
        <f t="shared" si="4"/>
        <v>73</v>
      </c>
      <c r="I42" s="93">
        <v>71</v>
      </c>
      <c r="J42" s="96">
        <f t="shared" si="5"/>
        <v>2</v>
      </c>
    </row>
    <row r="43" spans="1:11" ht="19.5">
      <c r="A43" s="24" t="s">
        <v>122</v>
      </c>
      <c r="B43" s="112" t="s">
        <v>161</v>
      </c>
      <c r="C43" s="114">
        <v>38986</v>
      </c>
      <c r="D43" s="26">
        <v>5</v>
      </c>
      <c r="E43" s="22">
        <v>41</v>
      </c>
      <c r="F43" s="27">
        <v>39</v>
      </c>
      <c r="G43" s="15">
        <f t="shared" si="3"/>
        <v>80</v>
      </c>
      <c r="H43" s="108">
        <f t="shared" si="4"/>
        <v>75</v>
      </c>
      <c r="I43" s="93">
        <v>72</v>
      </c>
      <c r="J43" s="96">
        <f t="shared" si="5"/>
        <v>3</v>
      </c>
    </row>
    <row r="44" spans="1:11" ht="19.5">
      <c r="A44" s="24" t="s">
        <v>123</v>
      </c>
      <c r="B44" s="112" t="s">
        <v>161</v>
      </c>
      <c r="C44" s="114">
        <v>38873</v>
      </c>
      <c r="D44" s="26">
        <v>6</v>
      </c>
      <c r="E44" s="22">
        <v>40</v>
      </c>
      <c r="F44" s="27">
        <v>42</v>
      </c>
      <c r="G44" s="15">
        <f t="shared" si="3"/>
        <v>82</v>
      </c>
      <c r="H44" s="108">
        <f t="shared" si="4"/>
        <v>76</v>
      </c>
      <c r="I44" s="93">
        <v>72</v>
      </c>
      <c r="J44" s="96">
        <f t="shared" si="5"/>
        <v>4</v>
      </c>
    </row>
    <row r="45" spans="1:11" ht="20.25" thickBot="1">
      <c r="A45" s="133" t="s">
        <v>282</v>
      </c>
      <c r="B45" s="120" t="s">
        <v>161</v>
      </c>
      <c r="C45" s="121">
        <v>38895</v>
      </c>
      <c r="D45" s="122" t="s">
        <v>5</v>
      </c>
      <c r="E45" s="123" t="s">
        <v>257</v>
      </c>
      <c r="F45" s="124" t="s">
        <v>258</v>
      </c>
      <c r="G45" s="125" t="s">
        <v>10</v>
      </c>
      <c r="H45" s="126" t="s">
        <v>10</v>
      </c>
      <c r="I45" s="127" t="s">
        <v>10</v>
      </c>
      <c r="J45" s="128" t="s">
        <v>10</v>
      </c>
    </row>
  </sheetData>
  <sortState ref="A11:J29">
    <sortCondition ref="J11:J29"/>
  </sortState>
  <mergeCells count="10">
    <mergeCell ref="A32:H32"/>
    <mergeCell ref="A5:H5"/>
    <mergeCell ref="A9:H9"/>
    <mergeCell ref="A1:H1"/>
    <mergeCell ref="A2:H2"/>
    <mergeCell ref="A3:H3"/>
    <mergeCell ref="A4:H4"/>
    <mergeCell ref="A6:H6"/>
    <mergeCell ref="A8:H8"/>
    <mergeCell ref="A31:H31"/>
  </mergeCells>
  <phoneticPr fontId="0" type="noConversion"/>
  <conditionalFormatting sqref="J34:J45 J11:J29">
    <cfRule type="cellIs" dxfId="35" priority="2248" operator="equal">
      <formula>0</formula>
    </cfRule>
    <cfRule type="cellIs" dxfId="34" priority="2249" operator="lessThan">
      <formula>0</formula>
    </cfRule>
    <cfRule type="cellIs" dxfId="33" priority="2250" operator="greaterThan">
      <formula>0</formula>
    </cfRule>
  </conditionalFormatting>
  <conditionalFormatting sqref="J45">
    <cfRule type="cellIs" dxfId="32" priority="52" operator="equal">
      <formula>0</formula>
    </cfRule>
    <cfRule type="cellIs" dxfId="31" priority="53" operator="lessThan">
      <formula>0</formula>
    </cfRule>
    <cfRule type="cellIs" dxfId="30" priority="54" operator="greaterThan">
      <formula>0</formula>
    </cfRule>
  </conditionalFormatting>
  <conditionalFormatting sqref="J45">
    <cfRule type="cellIs" dxfId="29" priority="49" operator="equal">
      <formula>0</formula>
    </cfRule>
    <cfRule type="cellIs" dxfId="28" priority="50" operator="lessThan">
      <formula>0</formula>
    </cfRule>
    <cfRule type="cellIs" dxfId="27" priority="51" operator="greaterThan">
      <formula>0</formula>
    </cfRule>
  </conditionalFormatting>
  <conditionalFormatting sqref="J45">
    <cfRule type="cellIs" dxfId="26" priority="46" operator="equal">
      <formula>0</formula>
    </cfRule>
    <cfRule type="cellIs" dxfId="25" priority="47" operator="lessThan">
      <formula>0</formula>
    </cfRule>
    <cfRule type="cellIs" dxfId="24" priority="48" operator="greaterThan">
      <formula>0</formula>
    </cfRule>
  </conditionalFormatting>
  <conditionalFormatting sqref="J45">
    <cfRule type="cellIs" dxfId="23" priority="43" operator="equal">
      <formula>0</formula>
    </cfRule>
    <cfRule type="cellIs" dxfId="22" priority="44" operator="lessThan">
      <formula>0</formula>
    </cfRule>
    <cfRule type="cellIs" dxfId="21" priority="45" operator="greaterThan">
      <formula>0</formula>
    </cfRule>
  </conditionalFormatting>
  <conditionalFormatting sqref="J45">
    <cfRule type="cellIs" dxfId="20" priority="40" operator="equal">
      <formula>0</formula>
    </cfRule>
    <cfRule type="cellIs" dxfId="19" priority="41" operator="lessThan">
      <formula>0</formula>
    </cfRule>
    <cfRule type="cellIs" dxfId="18" priority="42" operator="greaterThan">
      <formula>0</formula>
    </cfRule>
  </conditionalFormatting>
  <conditionalFormatting sqref="J45">
    <cfRule type="cellIs" dxfId="17" priority="37" operator="equal">
      <formula>0</formula>
    </cfRule>
    <cfRule type="cellIs" dxfId="16" priority="38" operator="lessThan">
      <formula>0</formula>
    </cfRule>
    <cfRule type="cellIs" dxfId="15" priority="39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4"/>
  <sheetViews>
    <sheetView zoomScale="70" zoomScaleNormal="70" workbookViewId="0">
      <selection activeCell="G12" sqref="G12"/>
    </sheetView>
  </sheetViews>
  <sheetFormatPr baseColWidth="10" defaultRowHeight="18.75"/>
  <cols>
    <col min="1" max="1" width="27.85546875" style="1" customWidth="1"/>
    <col min="2" max="2" width="8.85546875" style="18" bestFit="1" customWidth="1"/>
    <col min="3" max="3" width="12.85546875" style="18" bestFit="1" customWidth="1"/>
    <col min="4" max="4" width="7.85546875" style="2" bestFit="1" customWidth="1"/>
    <col min="5" max="8" width="6.7109375" style="2" customWidth="1"/>
    <col min="9" max="9" width="9.7109375" style="2" customWidth="1"/>
    <col min="10" max="10" width="6.7109375" style="2" customWidth="1"/>
    <col min="11" max="11" width="4.42578125" style="1" bestFit="1" customWidth="1"/>
    <col min="12" max="16384" width="11.42578125" style="1"/>
  </cols>
  <sheetData>
    <row r="1" spans="1:11" ht="30.75">
      <c r="A1" s="180" t="str">
        <f>JUV!A1</f>
        <v>3° TORNEO VIRTUAL</v>
      </c>
      <c r="B1" s="180"/>
      <c r="C1" s="180"/>
      <c r="D1" s="180"/>
      <c r="E1" s="180"/>
      <c r="F1" s="180"/>
      <c r="G1" s="180"/>
      <c r="H1" s="180"/>
      <c r="I1" s="83"/>
      <c r="J1" s="83"/>
    </row>
    <row r="2" spans="1:11" ht="23.25">
      <c r="A2" s="184" t="str">
        <f>JUV!A2</f>
        <v>CLUBES DE LA FEDERACION</v>
      </c>
      <c r="B2" s="184"/>
      <c r="C2" s="184"/>
      <c r="D2" s="184"/>
      <c r="E2" s="184"/>
      <c r="F2" s="184"/>
      <c r="G2" s="184"/>
      <c r="H2" s="184"/>
      <c r="I2" s="87"/>
      <c r="J2" s="87"/>
    </row>
    <row r="3" spans="1:11" ht="19.5">
      <c r="A3" s="181" t="s">
        <v>7</v>
      </c>
      <c r="B3" s="181"/>
      <c r="C3" s="181"/>
      <c r="D3" s="181"/>
      <c r="E3" s="181"/>
      <c r="F3" s="181"/>
      <c r="G3" s="181"/>
      <c r="H3" s="181"/>
      <c r="I3" s="86"/>
      <c r="J3" s="86"/>
    </row>
    <row r="4" spans="1:11" ht="26.25">
      <c r="A4" s="182" t="s">
        <v>11</v>
      </c>
      <c r="B4" s="182"/>
      <c r="C4" s="182"/>
      <c r="D4" s="182"/>
      <c r="E4" s="182"/>
      <c r="F4" s="182"/>
      <c r="G4" s="182"/>
      <c r="H4" s="182"/>
      <c r="I4" s="86"/>
      <c r="J4" s="86"/>
    </row>
    <row r="5" spans="1:11" ht="19.5">
      <c r="A5" s="183" t="str">
        <f>JUV!A5</f>
        <v>DOS VUELTAS DE 9 HOYOS MEDAL PLAY</v>
      </c>
      <c r="B5" s="183"/>
      <c r="C5" s="183"/>
      <c r="D5" s="183"/>
      <c r="E5" s="183"/>
      <c r="F5" s="183"/>
      <c r="G5" s="183"/>
      <c r="H5" s="183"/>
      <c r="I5" s="86"/>
      <c r="J5" s="86"/>
    </row>
    <row r="6" spans="1:11" ht="19.5">
      <c r="A6" s="179" t="str">
        <f>JUV!A6</f>
        <v>07 AL 11 DE NOVIEMBRE DE 2020</v>
      </c>
      <c r="B6" s="179"/>
      <c r="C6" s="179"/>
      <c r="D6" s="179"/>
      <c r="E6" s="179"/>
      <c r="F6" s="179"/>
      <c r="G6" s="179"/>
      <c r="H6" s="179"/>
      <c r="I6" s="82"/>
      <c r="J6" s="82"/>
    </row>
    <row r="7" spans="1:11" ht="20.25" thickBot="1">
      <c r="A7" s="73"/>
      <c r="B7" s="109"/>
      <c r="C7" s="109"/>
      <c r="D7" s="73"/>
      <c r="E7" s="73"/>
      <c r="F7" s="73"/>
      <c r="G7" s="73"/>
      <c r="H7" s="73"/>
      <c r="I7" s="82"/>
      <c r="J7" s="82"/>
    </row>
    <row r="8" spans="1:11" ht="20.25" thickBot="1">
      <c r="A8" s="192" t="str">
        <f>JUV!A8</f>
        <v>BOCHAS BLANCAS</v>
      </c>
      <c r="B8" s="193"/>
      <c r="C8" s="193"/>
      <c r="D8" s="193"/>
      <c r="E8" s="193"/>
      <c r="F8" s="193"/>
      <c r="G8" s="193"/>
      <c r="H8" s="194"/>
      <c r="I8" s="1"/>
      <c r="J8" s="1"/>
    </row>
    <row r="9" spans="1:11" ht="19.5" thickBot="1">
      <c r="A9" s="176" t="s">
        <v>39</v>
      </c>
      <c r="B9" s="177"/>
      <c r="C9" s="177"/>
      <c r="D9" s="177"/>
      <c r="E9" s="177"/>
      <c r="F9" s="177"/>
      <c r="G9" s="177"/>
      <c r="H9" s="177"/>
      <c r="I9" s="129" t="s">
        <v>57</v>
      </c>
      <c r="J9" s="130" t="s">
        <v>59</v>
      </c>
    </row>
    <row r="10" spans="1:11" s="74" customFormat="1" ht="20.25" thickBot="1">
      <c r="A10" s="4" t="s">
        <v>0</v>
      </c>
      <c r="B10" s="110" t="s">
        <v>9</v>
      </c>
      <c r="C10" s="110" t="s">
        <v>19</v>
      </c>
      <c r="D10" s="4" t="s">
        <v>1</v>
      </c>
      <c r="E10" s="4" t="s">
        <v>2</v>
      </c>
      <c r="F10" s="13" t="s">
        <v>3</v>
      </c>
      <c r="G10" s="12" t="s">
        <v>4</v>
      </c>
      <c r="H10" s="92" t="s">
        <v>5</v>
      </c>
      <c r="I10" s="131" t="s">
        <v>58</v>
      </c>
      <c r="J10" s="132" t="s">
        <v>60</v>
      </c>
    </row>
    <row r="11" spans="1:11" ht="20.25" thickBot="1">
      <c r="A11" s="24" t="s">
        <v>95</v>
      </c>
      <c r="B11" s="112" t="s">
        <v>90</v>
      </c>
      <c r="C11" s="114">
        <v>39699</v>
      </c>
      <c r="D11" s="26">
        <v>22</v>
      </c>
      <c r="E11" s="22">
        <f>5+4+5+4+5+5+3+4+7</f>
        <v>42</v>
      </c>
      <c r="F11" s="27">
        <f>6+5+5+8+4+3+4+4+5</f>
        <v>44</v>
      </c>
      <c r="G11" s="15">
        <f t="shared" ref="G11:G18" si="0">SUM(E11:F11)</f>
        <v>86</v>
      </c>
      <c r="H11" s="108">
        <f t="shared" ref="H11:H18" si="1">SUM(G11-D11)</f>
        <v>64</v>
      </c>
      <c r="I11" s="93">
        <v>71</v>
      </c>
      <c r="J11" s="106">
        <f t="shared" ref="J11:J18" si="2">(H11-I11)</f>
        <v>-7</v>
      </c>
      <c r="K11" s="88" t="s">
        <v>61</v>
      </c>
    </row>
    <row r="12" spans="1:11" ht="20.25" thickBot="1">
      <c r="A12" s="24" t="s">
        <v>96</v>
      </c>
      <c r="B12" s="112" t="s">
        <v>90</v>
      </c>
      <c r="C12" s="114">
        <v>39867</v>
      </c>
      <c r="D12" s="26">
        <v>28</v>
      </c>
      <c r="E12" s="22">
        <v>45</v>
      </c>
      <c r="F12" s="27">
        <v>47</v>
      </c>
      <c r="G12" s="15">
        <f t="shared" si="0"/>
        <v>92</v>
      </c>
      <c r="H12" s="108">
        <f t="shared" si="1"/>
        <v>64</v>
      </c>
      <c r="I12" s="93">
        <v>71</v>
      </c>
      <c r="J12" s="96">
        <f t="shared" si="2"/>
        <v>-7</v>
      </c>
      <c r="K12" s="88" t="s">
        <v>62</v>
      </c>
    </row>
    <row r="13" spans="1:11" ht="19.5">
      <c r="A13" s="24" t="s">
        <v>72</v>
      </c>
      <c r="B13" s="112" t="s">
        <v>74</v>
      </c>
      <c r="C13" s="114">
        <v>39688</v>
      </c>
      <c r="D13" s="26">
        <v>27</v>
      </c>
      <c r="E13" s="22">
        <f>6+5+4+7+6+6+5+4+3</f>
        <v>46</v>
      </c>
      <c r="F13" s="27">
        <f>4+6+6+5+4+4+6+7+5</f>
        <v>47</v>
      </c>
      <c r="G13" s="15">
        <f t="shared" si="0"/>
        <v>93</v>
      </c>
      <c r="H13" s="108">
        <f t="shared" si="1"/>
        <v>66</v>
      </c>
      <c r="I13" s="93">
        <v>71</v>
      </c>
      <c r="J13" s="96">
        <f t="shared" si="2"/>
        <v>-5</v>
      </c>
    </row>
    <row r="14" spans="1:11" ht="19.5">
      <c r="A14" s="24" t="s">
        <v>97</v>
      </c>
      <c r="B14" s="112" t="s">
        <v>90</v>
      </c>
      <c r="C14" s="114">
        <v>39791</v>
      </c>
      <c r="D14" s="26">
        <v>28</v>
      </c>
      <c r="E14" s="22">
        <f>6+7+5+5+7+4+5+5+4</f>
        <v>48</v>
      </c>
      <c r="F14" s="27">
        <f>5+4+5+7+6+5+6+4+8</f>
        <v>50</v>
      </c>
      <c r="G14" s="15">
        <f t="shared" si="0"/>
        <v>98</v>
      </c>
      <c r="H14" s="108">
        <f t="shared" si="1"/>
        <v>70</v>
      </c>
      <c r="I14" s="93">
        <v>71</v>
      </c>
      <c r="J14" s="96">
        <f t="shared" si="2"/>
        <v>-1</v>
      </c>
    </row>
    <row r="15" spans="1:11" ht="19.5">
      <c r="A15" s="24" t="s">
        <v>240</v>
      </c>
      <c r="B15" s="112" t="s">
        <v>235</v>
      </c>
      <c r="C15" s="114">
        <v>39105</v>
      </c>
      <c r="D15" s="26">
        <v>2</v>
      </c>
      <c r="E15" s="22">
        <v>38</v>
      </c>
      <c r="F15" s="27">
        <v>40</v>
      </c>
      <c r="G15" s="15">
        <f t="shared" si="0"/>
        <v>78</v>
      </c>
      <c r="H15" s="108">
        <f t="shared" si="1"/>
        <v>76</v>
      </c>
      <c r="I15" s="93">
        <v>71</v>
      </c>
      <c r="J15" s="96">
        <f t="shared" si="2"/>
        <v>5</v>
      </c>
    </row>
    <row r="16" spans="1:11" ht="19.5">
      <c r="A16" s="24" t="s">
        <v>170</v>
      </c>
      <c r="B16" s="112" t="s">
        <v>163</v>
      </c>
      <c r="C16" s="114">
        <v>39770</v>
      </c>
      <c r="D16" s="26">
        <v>17</v>
      </c>
      <c r="E16" s="22">
        <f>5+5+5+3+7+5+3+5+5</f>
        <v>43</v>
      </c>
      <c r="F16" s="27">
        <f>6+5+3+5+5+7+5+8+6</f>
        <v>50</v>
      </c>
      <c r="G16" s="15">
        <f t="shared" si="0"/>
        <v>93</v>
      </c>
      <c r="H16" s="108">
        <f t="shared" si="1"/>
        <v>76</v>
      </c>
      <c r="I16" s="93">
        <v>71</v>
      </c>
      <c r="J16" s="96">
        <f t="shared" si="2"/>
        <v>5</v>
      </c>
    </row>
    <row r="17" spans="1:10" ht="19.5">
      <c r="A17" s="24" t="s">
        <v>73</v>
      </c>
      <c r="B17" s="112" t="s">
        <v>74</v>
      </c>
      <c r="C17" s="114">
        <v>39183</v>
      </c>
      <c r="D17" s="26">
        <v>23</v>
      </c>
      <c r="E17" s="22">
        <f>8+6+5+5+4+5+5+5+5</f>
        <v>48</v>
      </c>
      <c r="F17" s="27">
        <f>8+5+6+5+3+5+6+8+5</f>
        <v>51</v>
      </c>
      <c r="G17" s="15">
        <f t="shared" si="0"/>
        <v>99</v>
      </c>
      <c r="H17" s="108">
        <f t="shared" si="1"/>
        <v>76</v>
      </c>
      <c r="I17" s="93">
        <v>71</v>
      </c>
      <c r="J17" s="96">
        <f t="shared" si="2"/>
        <v>5</v>
      </c>
    </row>
    <row r="18" spans="1:10" ht="19.5">
      <c r="A18" s="24" t="s">
        <v>222</v>
      </c>
      <c r="B18" s="112" t="s">
        <v>190</v>
      </c>
      <c r="C18" s="114">
        <v>39499</v>
      </c>
      <c r="D18" s="26">
        <v>28</v>
      </c>
      <c r="E18" s="22">
        <v>55</v>
      </c>
      <c r="F18" s="27">
        <v>48</v>
      </c>
      <c r="G18" s="15">
        <f t="shared" si="0"/>
        <v>103</v>
      </c>
      <c r="H18" s="108">
        <f t="shared" si="1"/>
        <v>75</v>
      </c>
      <c r="I18" s="93">
        <v>70</v>
      </c>
      <c r="J18" s="96">
        <f t="shared" si="2"/>
        <v>5</v>
      </c>
    </row>
    <row r="19" spans="1:10" ht="19.5">
      <c r="A19" s="140" t="s">
        <v>94</v>
      </c>
      <c r="B19" s="112" t="s">
        <v>90</v>
      </c>
      <c r="C19" s="114">
        <v>39469</v>
      </c>
      <c r="D19" s="26" t="s">
        <v>5</v>
      </c>
      <c r="E19" s="22" t="s">
        <v>257</v>
      </c>
      <c r="F19" s="27" t="s">
        <v>258</v>
      </c>
      <c r="G19" s="15" t="s">
        <v>10</v>
      </c>
      <c r="H19" s="108" t="s">
        <v>10</v>
      </c>
      <c r="I19" s="93" t="s">
        <v>10</v>
      </c>
      <c r="J19" s="96" t="s">
        <v>10</v>
      </c>
    </row>
    <row r="20" spans="1:10" ht="19.5">
      <c r="A20" s="140" t="s">
        <v>284</v>
      </c>
      <c r="B20" s="112" t="s">
        <v>163</v>
      </c>
      <c r="C20" s="114">
        <v>39205</v>
      </c>
      <c r="D20" s="26" t="s">
        <v>5</v>
      </c>
      <c r="E20" s="22" t="s">
        <v>257</v>
      </c>
      <c r="F20" s="27" t="s">
        <v>258</v>
      </c>
      <c r="G20" s="15" t="s">
        <v>10</v>
      </c>
      <c r="H20" s="108" t="s">
        <v>10</v>
      </c>
      <c r="I20" s="93" t="s">
        <v>10</v>
      </c>
      <c r="J20" s="96" t="s">
        <v>10</v>
      </c>
    </row>
    <row r="21" spans="1:10" ht="19.5">
      <c r="A21" s="140" t="s">
        <v>285</v>
      </c>
      <c r="B21" s="112" t="s">
        <v>161</v>
      </c>
      <c r="C21" s="114">
        <v>39876</v>
      </c>
      <c r="D21" s="26" t="s">
        <v>5</v>
      </c>
      <c r="E21" s="22" t="s">
        <v>257</v>
      </c>
      <c r="F21" s="27" t="s">
        <v>258</v>
      </c>
      <c r="G21" s="15" t="s">
        <v>10</v>
      </c>
      <c r="H21" s="108" t="s">
        <v>10</v>
      </c>
      <c r="I21" s="93" t="s">
        <v>10</v>
      </c>
      <c r="J21" s="96" t="s">
        <v>10</v>
      </c>
    </row>
    <row r="22" spans="1:10" ht="20.25" thickBot="1">
      <c r="A22" s="133" t="s">
        <v>286</v>
      </c>
      <c r="B22" s="120" t="s">
        <v>190</v>
      </c>
      <c r="C22" s="121">
        <v>39914</v>
      </c>
      <c r="D22" s="122" t="s">
        <v>5</v>
      </c>
      <c r="E22" s="123" t="s">
        <v>257</v>
      </c>
      <c r="F22" s="124" t="s">
        <v>258</v>
      </c>
      <c r="G22" s="125" t="s">
        <v>10</v>
      </c>
      <c r="H22" s="126" t="s">
        <v>10</v>
      </c>
      <c r="I22" s="127" t="s">
        <v>10</v>
      </c>
      <c r="J22" s="128" t="s">
        <v>10</v>
      </c>
    </row>
    <row r="33" spans="9:9">
      <c r="I33" s="1"/>
    </row>
    <row r="34" spans="9:9">
      <c r="I34" s="1"/>
    </row>
  </sheetData>
  <sortState ref="A11:J22">
    <sortCondition ref="J11:J22"/>
    <sortCondition ref="D11:D22"/>
  </sortState>
  <mergeCells count="8">
    <mergeCell ref="A8:H8"/>
    <mergeCell ref="A9:H9"/>
    <mergeCell ref="A1:H1"/>
    <mergeCell ref="A2:H2"/>
    <mergeCell ref="A3:H3"/>
    <mergeCell ref="A4:H4"/>
    <mergeCell ref="A5:H5"/>
    <mergeCell ref="A6:H6"/>
  </mergeCells>
  <conditionalFormatting sqref="J11:J19">
    <cfRule type="cellIs" dxfId="14" priority="7858" operator="equal">
      <formula>0</formula>
    </cfRule>
    <cfRule type="cellIs" dxfId="13" priority="7859" operator="lessThan">
      <formula>0</formula>
    </cfRule>
    <cfRule type="cellIs" dxfId="12" priority="7860" operator="greaterThan">
      <formula>0</formula>
    </cfRule>
  </conditionalFormatting>
  <conditionalFormatting sqref="J19:J22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J19:J22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J18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J18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 verticalCentered="1"/>
  <pageMargins left="0" right="0" top="0" bottom="0" header="0" footer="0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8"/>
  <sheetViews>
    <sheetView zoomScale="70" workbookViewId="0">
      <selection sqref="A1:D1"/>
    </sheetView>
  </sheetViews>
  <sheetFormatPr baseColWidth="10" defaultRowHeight="18.75"/>
  <cols>
    <col min="1" max="1" width="50.28515625" style="1" bestFit="1" customWidth="1"/>
    <col min="2" max="2" width="11.85546875" style="2" bestFit="1" customWidth="1"/>
    <col min="3" max="3" width="21" style="2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9" ht="30.75">
      <c r="A1" s="180" t="str">
        <f>JUV!A1</f>
        <v>3° TORNEO VIRTUAL</v>
      </c>
      <c r="B1" s="180"/>
      <c r="C1" s="180"/>
      <c r="D1" s="180"/>
    </row>
    <row r="2" spans="1:9" ht="23.25">
      <c r="A2" s="184" t="str">
        <f>JUV!A2</f>
        <v>CLUBES DE LA FEDERACION</v>
      </c>
      <c r="B2" s="184"/>
      <c r="C2" s="184"/>
      <c r="D2" s="184"/>
    </row>
    <row r="3" spans="1:9" ht="19.5">
      <c r="A3" s="181" t="s">
        <v>7</v>
      </c>
      <c r="B3" s="181"/>
      <c r="C3" s="181"/>
      <c r="D3" s="181"/>
    </row>
    <row r="4" spans="1:9" ht="26.25">
      <c r="A4" s="182" t="s">
        <v>12</v>
      </c>
      <c r="B4" s="182"/>
      <c r="C4" s="182"/>
      <c r="D4" s="182"/>
    </row>
    <row r="5" spans="1:9" ht="19.5">
      <c r="A5" s="183" t="s">
        <v>14</v>
      </c>
      <c r="B5" s="183"/>
      <c r="C5" s="183"/>
      <c r="D5" s="183"/>
    </row>
    <row r="6" spans="1:9" ht="19.5">
      <c r="A6" s="179" t="str">
        <f>JUV!A6</f>
        <v>07 AL 11 DE NOVIEMBRE DE 2020</v>
      </c>
      <c r="B6" s="179"/>
      <c r="C6" s="179"/>
      <c r="D6" s="179"/>
    </row>
    <row r="7" spans="1:9" ht="20.25" thickBot="1">
      <c r="A7" s="59"/>
      <c r="B7" s="59"/>
      <c r="C7" s="59"/>
      <c r="D7" s="59"/>
    </row>
    <row r="8" spans="1:9" ht="20.25" thickBot="1">
      <c r="A8" s="186" t="s">
        <v>27</v>
      </c>
      <c r="B8" s="187"/>
      <c r="C8" s="187"/>
      <c r="D8" s="188"/>
    </row>
    <row r="9" spans="1:9" ht="20.25" thickBot="1">
      <c r="A9" s="195" t="s">
        <v>28</v>
      </c>
      <c r="B9" s="196"/>
      <c r="C9" s="196"/>
      <c r="D9" s="197"/>
    </row>
    <row r="10" spans="1:9" s="75" customFormat="1" ht="18.95" customHeight="1" thickBot="1">
      <c r="A10" s="4" t="s">
        <v>0</v>
      </c>
      <c r="B10" s="5" t="s">
        <v>9</v>
      </c>
      <c r="C10" s="5" t="s">
        <v>19</v>
      </c>
      <c r="D10" s="4" t="s">
        <v>8</v>
      </c>
      <c r="F10" s="18"/>
    </row>
    <row r="11" spans="1:9" ht="20.25" thickBot="1">
      <c r="A11" s="24" t="s">
        <v>171</v>
      </c>
      <c r="B11" s="76" t="s">
        <v>163</v>
      </c>
      <c r="C11" s="23">
        <v>39638</v>
      </c>
      <c r="D11" s="25">
        <f>5+7+6+4+5+5+4+6+6</f>
        <v>48</v>
      </c>
      <c r="E11" s="56" t="s">
        <v>18</v>
      </c>
      <c r="F11" s="55"/>
      <c r="G11" s="55"/>
    </row>
    <row r="12" spans="1:9" ht="20.25" thickBot="1">
      <c r="A12" s="24" t="s">
        <v>172</v>
      </c>
      <c r="B12" s="76" t="s">
        <v>163</v>
      </c>
      <c r="C12" s="23">
        <v>39755</v>
      </c>
      <c r="D12" s="25">
        <f>4+7+6+5+5+5+4+6+7</f>
        <v>49</v>
      </c>
      <c r="E12" s="56" t="s">
        <v>20</v>
      </c>
      <c r="F12" s="58"/>
      <c r="G12" s="58"/>
      <c r="H12" s="58"/>
      <c r="I12" s="58"/>
    </row>
    <row r="13" spans="1:9" ht="19.5">
      <c r="A13" s="24" t="s">
        <v>223</v>
      </c>
      <c r="B13" s="76" t="s">
        <v>190</v>
      </c>
      <c r="C13" s="23">
        <v>39228</v>
      </c>
      <c r="D13" s="25">
        <v>49</v>
      </c>
    </row>
    <row r="14" spans="1:9" ht="19.5">
      <c r="A14" s="24" t="s">
        <v>111</v>
      </c>
      <c r="B14" s="76" t="s">
        <v>109</v>
      </c>
      <c r="C14" s="23">
        <v>39593</v>
      </c>
      <c r="D14" s="25">
        <v>50</v>
      </c>
    </row>
    <row r="15" spans="1:9" ht="19.5">
      <c r="A15" s="24" t="s">
        <v>242</v>
      </c>
      <c r="B15" s="76" t="s">
        <v>235</v>
      </c>
      <c r="C15" s="23">
        <v>39709</v>
      </c>
      <c r="D15" s="25">
        <v>50</v>
      </c>
    </row>
    <row r="16" spans="1:9" ht="19.5">
      <c r="A16" s="24" t="s">
        <v>224</v>
      </c>
      <c r="B16" s="76" t="s">
        <v>190</v>
      </c>
      <c r="C16" s="23">
        <v>39095</v>
      </c>
      <c r="D16" s="25">
        <v>52</v>
      </c>
    </row>
    <row r="17" spans="1:4" ht="19.5">
      <c r="A17" s="24" t="s">
        <v>225</v>
      </c>
      <c r="B17" s="76" t="s">
        <v>190</v>
      </c>
      <c r="C17" s="23">
        <v>39104</v>
      </c>
      <c r="D17" s="25">
        <v>53</v>
      </c>
    </row>
    <row r="18" spans="1:4" ht="19.5">
      <c r="A18" s="24" t="s">
        <v>226</v>
      </c>
      <c r="B18" s="76" t="s">
        <v>190</v>
      </c>
      <c r="C18" s="23"/>
      <c r="D18" s="25">
        <v>58</v>
      </c>
    </row>
    <row r="19" spans="1:4" ht="19.5">
      <c r="A19" s="24" t="s">
        <v>124</v>
      </c>
      <c r="B19" s="76" t="s">
        <v>161</v>
      </c>
      <c r="C19" s="23">
        <v>39741</v>
      </c>
      <c r="D19" s="25">
        <v>60</v>
      </c>
    </row>
    <row r="20" spans="1:4" ht="19.5">
      <c r="A20" s="24" t="s">
        <v>110</v>
      </c>
      <c r="B20" s="76" t="s">
        <v>109</v>
      </c>
      <c r="C20" s="23">
        <v>39743</v>
      </c>
      <c r="D20" s="25">
        <v>62</v>
      </c>
    </row>
    <row r="21" spans="1:4" ht="19.5">
      <c r="A21" s="24" t="s">
        <v>173</v>
      </c>
      <c r="B21" s="76" t="s">
        <v>163</v>
      </c>
      <c r="C21" s="23">
        <v>39785</v>
      </c>
      <c r="D21" s="25">
        <f>6+8+7+5+6+10+5+7+8</f>
        <v>62</v>
      </c>
    </row>
    <row r="22" spans="1:4" ht="19.5">
      <c r="A22" s="24" t="s">
        <v>106</v>
      </c>
      <c r="B22" s="76" t="s">
        <v>90</v>
      </c>
      <c r="C22" s="23">
        <v>39577</v>
      </c>
      <c r="D22" s="25">
        <v>63</v>
      </c>
    </row>
    <row r="23" spans="1:4" ht="19.5">
      <c r="A23" s="24" t="s">
        <v>125</v>
      </c>
      <c r="B23" s="76" t="s">
        <v>161</v>
      </c>
      <c r="C23" s="23">
        <v>39531</v>
      </c>
      <c r="D23" s="25">
        <f>6+9+10+7+5+9+5+7+7</f>
        <v>65</v>
      </c>
    </row>
    <row r="24" spans="1:4" ht="19.5">
      <c r="A24" s="24" t="s">
        <v>126</v>
      </c>
      <c r="B24" s="76" t="s">
        <v>161</v>
      </c>
      <c r="C24" s="23">
        <v>39762</v>
      </c>
      <c r="D24" s="25">
        <f>6+7+10+8+7+9+4+8+6</f>
        <v>65</v>
      </c>
    </row>
    <row r="25" spans="1:4" ht="19.5">
      <c r="A25" s="24" t="s">
        <v>227</v>
      </c>
      <c r="B25" s="76" t="s">
        <v>190</v>
      </c>
      <c r="C25" s="23">
        <v>39264</v>
      </c>
      <c r="D25" s="25">
        <v>65</v>
      </c>
    </row>
    <row r="26" spans="1:4" ht="19.5">
      <c r="A26" s="24" t="s">
        <v>75</v>
      </c>
      <c r="B26" s="76" t="s">
        <v>74</v>
      </c>
      <c r="C26" s="23">
        <v>39412</v>
      </c>
      <c r="D26" s="25">
        <f>10+7+8+7+5+5+10+7+7</f>
        <v>66</v>
      </c>
    </row>
    <row r="27" spans="1:4" ht="19.5">
      <c r="A27" s="24" t="s">
        <v>297</v>
      </c>
      <c r="B27" s="76" t="s">
        <v>161</v>
      </c>
      <c r="C27" s="23">
        <v>39767</v>
      </c>
      <c r="D27" s="25">
        <v>70</v>
      </c>
    </row>
    <row r="28" spans="1:4" ht="19.5">
      <c r="A28" s="140" t="s">
        <v>292</v>
      </c>
      <c r="B28" s="76" t="s">
        <v>190</v>
      </c>
      <c r="C28" s="23">
        <v>39270</v>
      </c>
      <c r="D28" s="25" t="s">
        <v>63</v>
      </c>
    </row>
    <row r="29" spans="1:4" ht="19.5">
      <c r="A29" s="140" t="s">
        <v>293</v>
      </c>
      <c r="B29" s="76" t="s">
        <v>161</v>
      </c>
      <c r="C29" s="23">
        <v>39291</v>
      </c>
      <c r="D29" s="25" t="s">
        <v>63</v>
      </c>
    </row>
    <row r="30" spans="1:4" ht="19.5">
      <c r="A30" s="140" t="s">
        <v>294</v>
      </c>
      <c r="B30" s="76" t="s">
        <v>190</v>
      </c>
      <c r="C30" s="23">
        <v>39608</v>
      </c>
      <c r="D30" s="25" t="s">
        <v>63</v>
      </c>
    </row>
    <row r="31" spans="1:4" ht="20.25" thickBot="1">
      <c r="A31" s="133" t="s">
        <v>295</v>
      </c>
      <c r="B31" s="89" t="s">
        <v>235</v>
      </c>
      <c r="C31" s="90">
        <v>39709</v>
      </c>
      <c r="D31" s="91" t="s">
        <v>63</v>
      </c>
    </row>
    <row r="32" spans="1:4" ht="19.5" thickBot="1">
      <c r="B32" s="1"/>
      <c r="C32" s="1"/>
      <c r="D32" s="1"/>
    </row>
    <row r="33" spans="1:9" ht="20.25" thickBot="1">
      <c r="A33" s="186" t="s">
        <v>27</v>
      </c>
      <c r="B33" s="187"/>
      <c r="C33" s="187"/>
      <c r="D33" s="188"/>
    </row>
    <row r="34" spans="1:9" ht="20.25" thickBot="1">
      <c r="A34" s="195" t="s">
        <v>29</v>
      </c>
      <c r="B34" s="196"/>
      <c r="C34" s="196"/>
      <c r="D34" s="197"/>
    </row>
    <row r="35" spans="1:9" s="117" customFormat="1" ht="18.95" customHeight="1" thickBot="1">
      <c r="A35" s="4" t="s">
        <v>6</v>
      </c>
      <c r="B35" s="5" t="s">
        <v>9</v>
      </c>
      <c r="C35" s="5" t="s">
        <v>19</v>
      </c>
      <c r="D35" s="4" t="s">
        <v>8</v>
      </c>
      <c r="F35" s="18"/>
    </row>
    <row r="36" spans="1:9" ht="20.25" thickBot="1">
      <c r="A36" s="24" t="s">
        <v>127</v>
      </c>
      <c r="B36" s="76" t="s">
        <v>161</v>
      </c>
      <c r="C36" s="23">
        <v>39591</v>
      </c>
      <c r="D36" s="25">
        <f>5+6+6+5+4+7+3+5+6</f>
        <v>47</v>
      </c>
      <c r="E36" s="56" t="s">
        <v>18</v>
      </c>
      <c r="F36" s="117"/>
      <c r="G36" s="117"/>
    </row>
    <row r="37" spans="1:9" ht="20.25" thickBot="1">
      <c r="A37" s="24" t="s">
        <v>82</v>
      </c>
      <c r="B37" s="76" t="s">
        <v>74</v>
      </c>
      <c r="C37" s="23">
        <v>39177</v>
      </c>
      <c r="D37" s="25">
        <f>5+5+4+6+6+5+5+8+4</f>
        <v>48</v>
      </c>
      <c r="E37" s="56" t="s">
        <v>20</v>
      </c>
      <c r="F37" s="117"/>
      <c r="G37" s="117"/>
      <c r="H37" s="117"/>
      <c r="I37" s="117"/>
    </row>
    <row r="38" spans="1:9" ht="19.5">
      <c r="A38" s="24" t="s">
        <v>76</v>
      </c>
      <c r="B38" s="76" t="s">
        <v>74</v>
      </c>
      <c r="C38" s="23">
        <v>39142</v>
      </c>
      <c r="D38" s="25">
        <f>7+10+5+6+4+6+5+7+6</f>
        <v>56</v>
      </c>
    </row>
    <row r="39" spans="1:9" ht="19.5">
      <c r="A39" s="24" t="s">
        <v>128</v>
      </c>
      <c r="B39" s="76" t="s">
        <v>161</v>
      </c>
      <c r="C39" s="23">
        <v>39451</v>
      </c>
      <c r="D39" s="25">
        <f>5+5+9+6+5+8+4+9+7</f>
        <v>58</v>
      </c>
    </row>
    <row r="40" spans="1:9" ht="19.5">
      <c r="A40" s="24" t="s">
        <v>77</v>
      </c>
      <c r="B40" s="76" t="s">
        <v>74</v>
      </c>
      <c r="C40" s="23">
        <v>39353</v>
      </c>
      <c r="D40" s="25">
        <f>10+7+5+10+7+9+8+4+5</f>
        <v>65</v>
      </c>
    </row>
    <row r="41" spans="1:9" ht="19.5">
      <c r="A41" s="24" t="s">
        <v>85</v>
      </c>
      <c r="B41" s="76" t="s">
        <v>74</v>
      </c>
      <c r="C41" s="23">
        <v>39749</v>
      </c>
      <c r="D41" s="25">
        <f>10+8+5+9+10+10+7+5+8</f>
        <v>72</v>
      </c>
    </row>
    <row r="42" spans="1:9" ht="19.5">
      <c r="A42" s="140" t="s">
        <v>291</v>
      </c>
      <c r="B42" s="76" t="s">
        <v>235</v>
      </c>
      <c r="C42" s="23">
        <v>39151</v>
      </c>
      <c r="D42" s="25" t="s">
        <v>63</v>
      </c>
    </row>
    <row r="43" spans="1:9" ht="20.25" thickBot="1">
      <c r="A43" s="133" t="s">
        <v>296</v>
      </c>
      <c r="B43" s="89" t="s">
        <v>68</v>
      </c>
      <c r="C43" s="90">
        <v>39713</v>
      </c>
      <c r="D43" s="91" t="s">
        <v>63</v>
      </c>
    </row>
    <row r="44" spans="1:9">
      <c r="B44" s="1"/>
      <c r="C44" s="1"/>
      <c r="D44" s="1"/>
    </row>
    <row r="45" spans="1:9">
      <c r="D45" s="1"/>
    </row>
    <row r="46" spans="1:9">
      <c r="D46" s="1"/>
    </row>
    <row r="47" spans="1:9">
      <c r="D47" s="1"/>
    </row>
    <row r="48" spans="1:9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</sheetData>
  <sortState ref="A11:D31">
    <sortCondition ref="D11:D31"/>
  </sortState>
  <mergeCells count="10">
    <mergeCell ref="A34:D34"/>
    <mergeCell ref="A5:D5"/>
    <mergeCell ref="A9:D9"/>
    <mergeCell ref="A1:D1"/>
    <mergeCell ref="A2:D2"/>
    <mergeCell ref="A3:D3"/>
    <mergeCell ref="A4:D4"/>
    <mergeCell ref="A6:D6"/>
    <mergeCell ref="A8:D8"/>
    <mergeCell ref="A33:D33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84"/>
  <sheetViews>
    <sheetView zoomScale="70" workbookViewId="0">
      <selection sqref="A1:D1"/>
    </sheetView>
  </sheetViews>
  <sheetFormatPr baseColWidth="10" defaultRowHeight="18.75"/>
  <cols>
    <col min="1" max="1" width="56.28515625" style="1" bestFit="1" customWidth="1"/>
    <col min="2" max="2" width="14.140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2" ht="30.75">
      <c r="A1" s="180" t="str">
        <f>JUV!A1</f>
        <v>3° TORNEO VIRTUAL</v>
      </c>
      <c r="B1" s="180"/>
      <c r="C1" s="180"/>
      <c r="D1" s="180"/>
    </row>
    <row r="2" spans="1:12" ht="23.25">
      <c r="A2" s="184" t="str">
        <f>JUV!A2</f>
        <v>CLUBES DE LA FEDERACION</v>
      </c>
      <c r="B2" s="184"/>
      <c r="C2" s="184"/>
      <c r="D2" s="184"/>
    </row>
    <row r="3" spans="1:12" ht="19.5">
      <c r="A3" s="181" t="s">
        <v>7</v>
      </c>
      <c r="B3" s="181"/>
      <c r="C3" s="181"/>
      <c r="D3" s="181"/>
    </row>
    <row r="4" spans="1:12" ht="26.25">
      <c r="A4" s="182" t="s">
        <v>12</v>
      </c>
      <c r="B4" s="182"/>
      <c r="C4" s="182"/>
      <c r="D4" s="182"/>
    </row>
    <row r="5" spans="1:12" ht="19.5">
      <c r="A5" s="183" t="s">
        <v>14</v>
      </c>
      <c r="B5" s="183"/>
      <c r="C5" s="183"/>
      <c r="D5" s="183"/>
    </row>
    <row r="6" spans="1:12" ht="19.5">
      <c r="A6" s="179" t="str">
        <f>JUV!A6</f>
        <v>07 AL 11 DE NOVIEMBRE DE 2020</v>
      </c>
      <c r="B6" s="179"/>
      <c r="C6" s="179"/>
      <c r="D6" s="179"/>
    </row>
    <row r="7" spans="1:12" ht="20.25" thickBot="1">
      <c r="A7" s="59"/>
      <c r="B7" s="59"/>
      <c r="C7" s="59"/>
      <c r="D7" s="59"/>
    </row>
    <row r="8" spans="1:12" ht="18.95" customHeight="1" thickBot="1">
      <c r="A8" s="195" t="s">
        <v>30</v>
      </c>
      <c r="B8" s="196"/>
      <c r="C8" s="196"/>
      <c r="D8" s="197"/>
    </row>
    <row r="9" spans="1:12" s="3" customFormat="1" ht="18.95" customHeight="1" thickBot="1">
      <c r="A9" s="4" t="s">
        <v>0</v>
      </c>
      <c r="B9" s="5" t="s">
        <v>9</v>
      </c>
      <c r="C9" s="5" t="s">
        <v>19</v>
      </c>
      <c r="D9" s="4" t="s">
        <v>8</v>
      </c>
      <c r="F9" s="18"/>
    </row>
    <row r="10" spans="1:12" ht="18.95" customHeight="1" thickBot="1">
      <c r="A10" s="24" t="s">
        <v>79</v>
      </c>
      <c r="B10" s="76" t="s">
        <v>74</v>
      </c>
      <c r="C10" s="23">
        <v>39819</v>
      </c>
      <c r="D10" s="25">
        <f>4+4+5+4+3+5+4+6+3</f>
        <v>38</v>
      </c>
      <c r="E10" s="17" t="s">
        <v>18</v>
      </c>
      <c r="F10" s="18"/>
      <c r="H10" s="55"/>
      <c r="I10" s="55"/>
      <c r="J10" s="55"/>
      <c r="K10" s="55"/>
      <c r="L10" s="55"/>
    </row>
    <row r="11" spans="1:12" ht="18.95" customHeight="1" thickBot="1">
      <c r="A11" s="24" t="s">
        <v>129</v>
      </c>
      <c r="B11" s="76" t="s">
        <v>161</v>
      </c>
      <c r="C11" s="23">
        <v>40175</v>
      </c>
      <c r="D11" s="25">
        <f>5+5+5+4+3+5+3+5+4</f>
        <v>39</v>
      </c>
      <c r="E11" s="17" t="s">
        <v>20</v>
      </c>
      <c r="F11" s="18"/>
      <c r="H11" s="55"/>
      <c r="I11" s="55"/>
      <c r="J11" s="55"/>
      <c r="K11" s="55"/>
      <c r="L11" s="55"/>
    </row>
    <row r="12" spans="1:12" ht="18.95" customHeight="1">
      <c r="A12" s="24" t="s">
        <v>228</v>
      </c>
      <c r="B12" s="76" t="s">
        <v>190</v>
      </c>
      <c r="C12" s="23">
        <v>40437</v>
      </c>
      <c r="D12" s="25">
        <v>41</v>
      </c>
      <c r="F12" s="18"/>
      <c r="H12" s="55"/>
      <c r="I12" s="55"/>
      <c r="J12" s="55"/>
      <c r="K12" s="55"/>
      <c r="L12" s="55"/>
    </row>
    <row r="13" spans="1:12" ht="18.95" customHeight="1">
      <c r="A13" s="24" t="s">
        <v>241</v>
      </c>
      <c r="B13" s="76" t="s">
        <v>235</v>
      </c>
      <c r="C13" s="23">
        <v>40451</v>
      </c>
      <c r="D13" s="25">
        <v>45</v>
      </c>
      <c r="F13" s="18"/>
    </row>
    <row r="14" spans="1:12" ht="18.95" customHeight="1">
      <c r="A14" s="24" t="s">
        <v>229</v>
      </c>
      <c r="B14" s="76" t="s">
        <v>190</v>
      </c>
      <c r="C14" s="23">
        <v>40413</v>
      </c>
      <c r="D14" s="25">
        <v>47</v>
      </c>
      <c r="F14" s="18"/>
    </row>
    <row r="15" spans="1:12" ht="18.95" customHeight="1">
      <c r="A15" s="24" t="s">
        <v>107</v>
      </c>
      <c r="B15" s="76" t="s">
        <v>74</v>
      </c>
      <c r="C15" s="23">
        <v>39994</v>
      </c>
      <c r="D15" s="25">
        <v>47</v>
      </c>
      <c r="F15" s="18"/>
    </row>
    <row r="16" spans="1:12" ht="18.95" customHeight="1">
      <c r="A16" s="24" t="s">
        <v>244</v>
      </c>
      <c r="B16" s="76" t="s">
        <v>235</v>
      </c>
      <c r="C16" s="23">
        <v>40192</v>
      </c>
      <c r="D16" s="25">
        <v>47</v>
      </c>
      <c r="F16" s="18"/>
    </row>
    <row r="17" spans="1:6" ht="18.95" customHeight="1">
      <c r="A17" s="24" t="s">
        <v>130</v>
      </c>
      <c r="B17" s="76" t="s">
        <v>161</v>
      </c>
      <c r="C17" s="23">
        <v>40280</v>
      </c>
      <c r="D17" s="25">
        <v>48</v>
      </c>
      <c r="F17" s="18"/>
    </row>
    <row r="18" spans="1:6" ht="18.95" customHeight="1">
      <c r="A18" s="24" t="s">
        <v>131</v>
      </c>
      <c r="B18" s="76" t="s">
        <v>161</v>
      </c>
      <c r="C18" s="23">
        <v>39897</v>
      </c>
      <c r="D18" s="25">
        <f>7+5+6+7+4+7+2+5+6</f>
        <v>49</v>
      </c>
      <c r="F18" s="18"/>
    </row>
    <row r="19" spans="1:6" ht="19.5" customHeight="1">
      <c r="A19" s="24" t="s">
        <v>230</v>
      </c>
      <c r="B19" s="76" t="s">
        <v>190</v>
      </c>
      <c r="C19" s="23">
        <v>40360</v>
      </c>
      <c r="D19" s="25">
        <v>49</v>
      </c>
      <c r="F19" s="18"/>
    </row>
    <row r="20" spans="1:6" ht="18.75" customHeight="1">
      <c r="A20" s="24" t="s">
        <v>132</v>
      </c>
      <c r="B20" s="76" t="s">
        <v>161</v>
      </c>
      <c r="C20" s="23">
        <v>39913</v>
      </c>
      <c r="D20" s="25">
        <f>4+5+6+8+6+5+4+6+6</f>
        <v>50</v>
      </c>
      <c r="F20" s="18"/>
    </row>
    <row r="21" spans="1:6" ht="18.75" customHeight="1">
      <c r="A21" s="24" t="s">
        <v>243</v>
      </c>
      <c r="B21" s="76" t="s">
        <v>235</v>
      </c>
      <c r="C21" s="23">
        <v>40200</v>
      </c>
      <c r="D21" s="25">
        <v>50</v>
      </c>
      <c r="F21" s="18"/>
    </row>
    <row r="22" spans="1:6" ht="18.75" customHeight="1">
      <c r="A22" s="24" t="s">
        <v>245</v>
      </c>
      <c r="B22" s="76" t="s">
        <v>235</v>
      </c>
      <c r="C22" s="23"/>
      <c r="D22" s="25">
        <v>52</v>
      </c>
      <c r="F22" s="18"/>
    </row>
    <row r="23" spans="1:6" ht="18.75" customHeight="1">
      <c r="A23" s="24" t="s">
        <v>175</v>
      </c>
      <c r="B23" s="76" t="s">
        <v>163</v>
      </c>
      <c r="C23" s="23">
        <v>40522</v>
      </c>
      <c r="D23" s="25">
        <f>4+9+9+6+5+5+4+5+6</f>
        <v>53</v>
      </c>
      <c r="F23" s="18"/>
    </row>
    <row r="24" spans="1:6" ht="18.75" customHeight="1">
      <c r="A24" s="24" t="s">
        <v>81</v>
      </c>
      <c r="B24" s="76" t="s">
        <v>74</v>
      </c>
      <c r="C24" s="23">
        <v>40368</v>
      </c>
      <c r="D24" s="25">
        <f>7+6+10+6+5+6+6+4+7</f>
        <v>57</v>
      </c>
      <c r="F24" s="18"/>
    </row>
    <row r="25" spans="1:6" ht="18.75" customHeight="1">
      <c r="A25" s="24" t="s">
        <v>98</v>
      </c>
      <c r="B25" s="76" t="s">
        <v>90</v>
      </c>
      <c r="C25" s="23">
        <v>40430</v>
      </c>
      <c r="D25" s="25">
        <v>58</v>
      </c>
      <c r="F25" s="18"/>
    </row>
    <row r="26" spans="1:6" ht="18.75" customHeight="1">
      <c r="A26" s="24" t="s">
        <v>300</v>
      </c>
      <c r="B26" s="76" t="s">
        <v>161</v>
      </c>
      <c r="C26" s="23">
        <v>40192</v>
      </c>
      <c r="D26" s="25">
        <v>59</v>
      </c>
      <c r="F26" s="18"/>
    </row>
    <row r="27" spans="1:6" ht="18.75" customHeight="1">
      <c r="A27" s="24" t="s">
        <v>265</v>
      </c>
      <c r="B27" s="76" t="s">
        <v>190</v>
      </c>
      <c r="C27" s="23">
        <v>39913</v>
      </c>
      <c r="D27" s="25">
        <v>62</v>
      </c>
      <c r="F27" s="18"/>
    </row>
    <row r="28" spans="1:6" ht="18.75" customHeight="1">
      <c r="A28" s="24" t="s">
        <v>231</v>
      </c>
      <c r="B28" s="76" t="s">
        <v>190</v>
      </c>
      <c r="C28" s="23">
        <v>40413</v>
      </c>
      <c r="D28" s="25">
        <v>65</v>
      </c>
      <c r="F28" s="18"/>
    </row>
    <row r="29" spans="1:6" ht="18.75" customHeight="1">
      <c r="A29" s="24" t="s">
        <v>306</v>
      </c>
      <c r="B29" s="76" t="s">
        <v>161</v>
      </c>
      <c r="C29" s="23">
        <v>40483</v>
      </c>
      <c r="D29" s="25">
        <v>72</v>
      </c>
      <c r="F29" s="18"/>
    </row>
    <row r="30" spans="1:6" ht="18.75" customHeight="1">
      <c r="A30" s="24" t="s">
        <v>133</v>
      </c>
      <c r="B30" s="76" t="s">
        <v>161</v>
      </c>
      <c r="C30" s="23">
        <v>39888</v>
      </c>
      <c r="D30" s="25">
        <f>7+8+13+13+9+13+6+11+11</f>
        <v>91</v>
      </c>
      <c r="F30" s="18"/>
    </row>
    <row r="31" spans="1:6" ht="18.75" customHeight="1">
      <c r="A31" s="140" t="s">
        <v>299</v>
      </c>
      <c r="B31" s="76" t="s">
        <v>235</v>
      </c>
      <c r="C31" s="23">
        <v>40005</v>
      </c>
      <c r="D31" s="25" t="s">
        <v>63</v>
      </c>
      <c r="F31" s="18"/>
    </row>
    <row r="32" spans="1:6" ht="18.75" customHeight="1">
      <c r="A32" s="140" t="s">
        <v>301</v>
      </c>
      <c r="B32" s="76" t="s">
        <v>68</v>
      </c>
      <c r="C32" s="23">
        <v>40251</v>
      </c>
      <c r="D32" s="25" t="s">
        <v>63</v>
      </c>
      <c r="F32" s="18"/>
    </row>
    <row r="33" spans="1:6" ht="18.75" customHeight="1">
      <c r="A33" s="140" t="s">
        <v>302</v>
      </c>
      <c r="B33" s="76" t="s">
        <v>90</v>
      </c>
      <c r="C33" s="23">
        <v>40304</v>
      </c>
      <c r="D33" s="25" t="s">
        <v>63</v>
      </c>
      <c r="F33" s="18"/>
    </row>
    <row r="34" spans="1:6" ht="18.75" customHeight="1">
      <c r="A34" s="140" t="s">
        <v>303</v>
      </c>
      <c r="B34" s="76" t="s">
        <v>235</v>
      </c>
      <c r="C34" s="23">
        <v>40318</v>
      </c>
      <c r="D34" s="25" t="s">
        <v>63</v>
      </c>
      <c r="F34" s="18"/>
    </row>
    <row r="35" spans="1:6" ht="18.75" customHeight="1" thickBot="1">
      <c r="A35" s="133" t="s">
        <v>307</v>
      </c>
      <c r="B35" s="89" t="s">
        <v>235</v>
      </c>
      <c r="C35" s="90">
        <v>40515</v>
      </c>
      <c r="D35" s="91" t="s">
        <v>63</v>
      </c>
      <c r="F35" s="18"/>
    </row>
    <row r="36" spans="1:6" ht="18.95" customHeight="1" thickBot="1">
      <c r="D36" s="1"/>
    </row>
    <row r="37" spans="1:6" ht="18.95" customHeight="1" thickBot="1">
      <c r="A37" s="195" t="s">
        <v>31</v>
      </c>
      <c r="B37" s="196"/>
      <c r="C37" s="196"/>
      <c r="D37" s="197"/>
    </row>
    <row r="38" spans="1:6" s="3" customFormat="1" ht="18.95" customHeight="1" thickBot="1">
      <c r="A38" s="153" t="s">
        <v>6</v>
      </c>
      <c r="B38" s="154" t="s">
        <v>9</v>
      </c>
      <c r="C38" s="154" t="s">
        <v>19</v>
      </c>
      <c r="D38" s="153" t="s">
        <v>8</v>
      </c>
      <c r="F38" s="18"/>
    </row>
    <row r="39" spans="1:6" ht="18.95" customHeight="1" thickBot="1">
      <c r="A39" s="24" t="s">
        <v>134</v>
      </c>
      <c r="B39" s="155" t="s">
        <v>161</v>
      </c>
      <c r="C39" s="23">
        <v>39869</v>
      </c>
      <c r="D39" s="25">
        <f>4+4+9+5+4+5+4+5+5</f>
        <v>45</v>
      </c>
      <c r="E39" s="56" t="s">
        <v>18</v>
      </c>
      <c r="F39" s="18"/>
    </row>
    <row r="40" spans="1:6" ht="18.95" customHeight="1" thickBot="1">
      <c r="A40" s="24" t="s">
        <v>135</v>
      </c>
      <c r="B40" s="155" t="s">
        <v>161</v>
      </c>
      <c r="C40" s="23">
        <v>40321</v>
      </c>
      <c r="D40" s="25">
        <f>4+6+6+8+4+6+5+5+4</f>
        <v>48</v>
      </c>
      <c r="E40" s="56" t="s">
        <v>20</v>
      </c>
      <c r="F40" s="18"/>
    </row>
    <row r="41" spans="1:6" ht="18.95" customHeight="1">
      <c r="A41" s="24" t="s">
        <v>246</v>
      </c>
      <c r="B41" s="155" t="s">
        <v>235</v>
      </c>
      <c r="C41" s="23">
        <v>40059</v>
      </c>
      <c r="D41" s="25">
        <v>49</v>
      </c>
      <c r="F41" s="18"/>
    </row>
    <row r="42" spans="1:6" ht="18.95" customHeight="1">
      <c r="A42" s="24" t="s">
        <v>247</v>
      </c>
      <c r="B42" s="155" t="s">
        <v>235</v>
      </c>
      <c r="C42" s="23">
        <v>39930</v>
      </c>
      <c r="D42" s="25">
        <v>49</v>
      </c>
    </row>
    <row r="43" spans="1:6" ht="18.95" customHeight="1">
      <c r="A43" s="24" t="s">
        <v>78</v>
      </c>
      <c r="B43" s="155" t="s">
        <v>74</v>
      </c>
      <c r="C43" s="23">
        <v>40439</v>
      </c>
      <c r="D43" s="25">
        <f>7+5+5+6+6+6+5+7+4</f>
        <v>51</v>
      </c>
    </row>
    <row r="44" spans="1:6" ht="18.95" customHeight="1">
      <c r="A44" s="24" t="s">
        <v>136</v>
      </c>
      <c r="B44" s="155" t="s">
        <v>161</v>
      </c>
      <c r="C44" s="23">
        <v>40087</v>
      </c>
      <c r="D44" s="25">
        <f>5+6+5+8+8+6+5+8+5</f>
        <v>56</v>
      </c>
    </row>
    <row r="45" spans="1:6" ht="18.95" customHeight="1">
      <c r="A45" s="24" t="s">
        <v>112</v>
      </c>
      <c r="B45" s="155" t="s">
        <v>109</v>
      </c>
      <c r="C45" s="23">
        <v>40267</v>
      </c>
      <c r="D45" s="25">
        <v>63</v>
      </c>
    </row>
    <row r="46" spans="1:6" ht="18.95" customHeight="1">
      <c r="A46" s="24" t="s">
        <v>137</v>
      </c>
      <c r="B46" s="155" t="s">
        <v>161</v>
      </c>
      <c r="C46" s="23">
        <v>40069</v>
      </c>
      <c r="D46" s="25">
        <f>8+8+7+7+8+9+5+6+6</f>
        <v>64</v>
      </c>
    </row>
    <row r="47" spans="1:6" ht="18.95" customHeight="1">
      <c r="A47" s="24" t="s">
        <v>232</v>
      </c>
      <c r="B47" s="155" t="s">
        <v>190</v>
      </c>
      <c r="C47" s="23">
        <v>40413</v>
      </c>
      <c r="D47" s="25">
        <v>64</v>
      </c>
    </row>
    <row r="48" spans="1:6" ht="18.95" customHeight="1">
      <c r="A48" s="24" t="s">
        <v>248</v>
      </c>
      <c r="B48" s="155" t="s">
        <v>235</v>
      </c>
      <c r="C48" s="23"/>
      <c r="D48" s="25">
        <v>65</v>
      </c>
    </row>
    <row r="49" spans="1:6" ht="18.75" customHeight="1">
      <c r="A49" s="24" t="s">
        <v>177</v>
      </c>
      <c r="B49" s="155" t="s">
        <v>163</v>
      </c>
      <c r="C49" s="23">
        <v>39984</v>
      </c>
      <c r="D49" s="25">
        <f>8+10+6+6+8+9+7+10+10</f>
        <v>74</v>
      </c>
      <c r="F49" s="18"/>
    </row>
    <row r="50" spans="1:6" ht="18.75" customHeight="1" thickBot="1">
      <c r="A50" s="133" t="s">
        <v>298</v>
      </c>
      <c r="B50" s="156" t="s">
        <v>163</v>
      </c>
      <c r="C50" s="90">
        <v>39932</v>
      </c>
      <c r="D50" s="91" t="s">
        <v>63</v>
      </c>
      <c r="F50" s="18"/>
    </row>
    <row r="51" spans="1:6">
      <c r="D51" s="1"/>
    </row>
    <row r="52" spans="1:6">
      <c r="D52" s="1"/>
    </row>
    <row r="53" spans="1:6">
      <c r="D53" s="1"/>
    </row>
    <row r="54" spans="1:6">
      <c r="D54" s="1"/>
    </row>
    <row r="55" spans="1:6">
      <c r="D55" s="1"/>
    </row>
    <row r="56" spans="1:6">
      <c r="D56" s="1"/>
    </row>
    <row r="57" spans="1:6">
      <c r="D57" s="1"/>
    </row>
    <row r="58" spans="1:6">
      <c r="D58" s="1"/>
    </row>
    <row r="59" spans="1:6">
      <c r="D59" s="1"/>
    </row>
    <row r="60" spans="1:6">
      <c r="D60" s="1"/>
    </row>
    <row r="61" spans="1:6">
      <c r="D61" s="1"/>
    </row>
    <row r="62" spans="1:6">
      <c r="D62" s="1"/>
    </row>
    <row r="63" spans="1:6">
      <c r="D63" s="1"/>
    </row>
    <row r="64" spans="1:6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</sheetData>
  <sortState ref="A10:D35">
    <sortCondition ref="D10:D35"/>
  </sortState>
  <mergeCells count="8">
    <mergeCell ref="A37:D37"/>
    <mergeCell ref="A6:D6"/>
    <mergeCell ref="A8:D8"/>
    <mergeCell ref="A1:D1"/>
    <mergeCell ref="A3:D3"/>
    <mergeCell ref="A4:D4"/>
    <mergeCell ref="A5:D5"/>
    <mergeCell ref="A2:D2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77"/>
  <sheetViews>
    <sheetView zoomScale="70" workbookViewId="0">
      <selection sqref="A1:D1"/>
    </sheetView>
  </sheetViews>
  <sheetFormatPr baseColWidth="10" defaultRowHeight="18.75"/>
  <cols>
    <col min="1" max="1" width="55.85546875" style="1" bestFit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14" ht="30.75">
      <c r="A1" s="180" t="str">
        <f>JUV!A1</f>
        <v>3° TORNEO VIRTUAL</v>
      </c>
      <c r="B1" s="180"/>
      <c r="C1" s="180"/>
      <c r="D1" s="180"/>
    </row>
    <row r="2" spans="1:14" ht="23.25">
      <c r="A2" s="184" t="str">
        <f>JUV!A2</f>
        <v>CLUBES DE LA FEDERACION</v>
      </c>
      <c r="B2" s="184"/>
      <c r="C2" s="184"/>
      <c r="D2" s="184"/>
    </row>
    <row r="3" spans="1:14" ht="19.5">
      <c r="A3" s="181" t="s">
        <v>7</v>
      </c>
      <c r="B3" s="181"/>
      <c r="C3" s="181"/>
      <c r="D3" s="181"/>
    </row>
    <row r="4" spans="1:14" ht="26.25">
      <c r="A4" s="182" t="s">
        <v>12</v>
      </c>
      <c r="B4" s="182"/>
      <c r="C4" s="182"/>
      <c r="D4" s="182"/>
    </row>
    <row r="5" spans="1:14" ht="19.5">
      <c r="A5" s="183" t="s">
        <v>14</v>
      </c>
      <c r="B5" s="183"/>
      <c r="C5" s="183"/>
      <c r="D5" s="183"/>
    </row>
    <row r="6" spans="1:14" ht="19.5">
      <c r="A6" s="179" t="str">
        <f>JUV!A6</f>
        <v>07 AL 11 DE NOVIEMBRE DE 2020</v>
      </c>
      <c r="B6" s="179"/>
      <c r="C6" s="179"/>
      <c r="D6" s="179"/>
    </row>
    <row r="7" spans="1:14" ht="20.25" thickBot="1">
      <c r="A7" s="6"/>
      <c r="B7" s="6"/>
      <c r="C7" s="6"/>
      <c r="D7" s="6"/>
    </row>
    <row r="8" spans="1:14" ht="20.25" thickBot="1">
      <c r="A8" s="195" t="s">
        <v>32</v>
      </c>
      <c r="B8" s="196"/>
      <c r="C8" s="196"/>
      <c r="D8" s="197"/>
    </row>
    <row r="9" spans="1:14" ht="20.25" thickBot="1">
      <c r="A9" s="4" t="s">
        <v>0</v>
      </c>
      <c r="B9" s="5" t="s">
        <v>9</v>
      </c>
      <c r="C9" s="5" t="s">
        <v>19</v>
      </c>
      <c r="D9" s="4" t="s">
        <v>8</v>
      </c>
      <c r="E9" s="117"/>
    </row>
    <row r="10" spans="1:14" ht="20.25" thickBot="1">
      <c r="A10" s="24" t="s">
        <v>138</v>
      </c>
      <c r="B10" s="76" t="s">
        <v>161</v>
      </c>
      <c r="C10" s="23">
        <v>40798</v>
      </c>
      <c r="D10" s="25">
        <f>4+5+5+5+3+6+4+5+4</f>
        <v>41</v>
      </c>
      <c r="E10" s="56" t="s">
        <v>18</v>
      </c>
    </row>
    <row r="11" spans="1:14" ht="20.25" thickBot="1">
      <c r="A11" s="24" t="s">
        <v>99</v>
      </c>
      <c r="B11" s="76" t="s">
        <v>90</v>
      </c>
      <c r="C11" s="23">
        <v>40766</v>
      </c>
      <c r="D11" s="25">
        <v>43</v>
      </c>
      <c r="E11" s="56" t="s">
        <v>20</v>
      </c>
    </row>
    <row r="12" spans="1:14" ht="19.5">
      <c r="A12" s="24" t="s">
        <v>178</v>
      </c>
      <c r="B12" s="76" t="s">
        <v>163</v>
      </c>
      <c r="C12" s="23">
        <v>41123</v>
      </c>
      <c r="D12" s="25">
        <f>6+8+6+4+4+5+3+6+4</f>
        <v>46</v>
      </c>
      <c r="F12" s="18"/>
      <c r="G12" s="50"/>
      <c r="H12" s="50"/>
      <c r="M12" s="50"/>
      <c r="N12" s="50"/>
    </row>
    <row r="13" spans="1:14" ht="19.5">
      <c r="A13" s="24" t="s">
        <v>80</v>
      </c>
      <c r="B13" s="76" t="s">
        <v>74</v>
      </c>
      <c r="C13" s="23">
        <v>41383</v>
      </c>
      <c r="D13" s="25">
        <f>5+7+5+5+3+5+6+6+5</f>
        <v>47</v>
      </c>
      <c r="F13" s="18"/>
    </row>
    <row r="14" spans="1:14" ht="19.5">
      <c r="A14" s="24" t="s">
        <v>313</v>
      </c>
      <c r="B14" s="76" t="s">
        <v>161</v>
      </c>
      <c r="C14" s="23">
        <v>40970</v>
      </c>
      <c r="D14" s="25">
        <v>50</v>
      </c>
      <c r="F14" s="18"/>
    </row>
    <row r="15" spans="1:14" ht="19.5">
      <c r="A15" s="24" t="s">
        <v>179</v>
      </c>
      <c r="B15" s="76" t="s">
        <v>163</v>
      </c>
      <c r="C15" s="23">
        <v>40722</v>
      </c>
      <c r="D15" s="25">
        <f>5+9+6+4+5+6+4+9+5</f>
        <v>53</v>
      </c>
      <c r="F15" s="18"/>
    </row>
    <row r="16" spans="1:14" ht="19.5">
      <c r="A16" s="24" t="s">
        <v>100</v>
      </c>
      <c r="B16" s="76" t="s">
        <v>90</v>
      </c>
      <c r="C16" s="23">
        <v>40862</v>
      </c>
      <c r="D16" s="25">
        <v>56</v>
      </c>
      <c r="F16" s="18"/>
    </row>
    <row r="17" spans="1:6" ht="19.5">
      <c r="A17" s="24" t="s">
        <v>311</v>
      </c>
      <c r="B17" s="76" t="s">
        <v>90</v>
      </c>
      <c r="C17" s="23">
        <v>40771</v>
      </c>
      <c r="D17" s="25">
        <v>57</v>
      </c>
      <c r="F17" s="18"/>
    </row>
    <row r="18" spans="1:6" ht="19.5">
      <c r="A18" s="24" t="s">
        <v>113</v>
      </c>
      <c r="B18" s="76" t="s">
        <v>109</v>
      </c>
      <c r="C18" s="23">
        <v>40969</v>
      </c>
      <c r="D18" s="25">
        <v>60</v>
      </c>
      <c r="F18" s="18"/>
    </row>
    <row r="19" spans="1:6" ht="19.5">
      <c r="A19" s="24" t="s">
        <v>66</v>
      </c>
      <c r="B19" s="76" t="s">
        <v>68</v>
      </c>
      <c r="C19" s="23">
        <v>41277</v>
      </c>
      <c r="D19" s="25">
        <v>62</v>
      </c>
      <c r="F19" s="18"/>
    </row>
    <row r="20" spans="1:6" ht="19.5">
      <c r="A20" s="24" t="s">
        <v>114</v>
      </c>
      <c r="B20" s="76" t="s">
        <v>109</v>
      </c>
      <c r="C20" s="23">
        <v>41429</v>
      </c>
      <c r="D20" s="25">
        <v>69</v>
      </c>
      <c r="F20" s="18"/>
    </row>
    <row r="21" spans="1:6" ht="19.5">
      <c r="A21" s="24" t="s">
        <v>67</v>
      </c>
      <c r="B21" s="76" t="s">
        <v>68</v>
      </c>
      <c r="C21" s="23">
        <v>40786</v>
      </c>
      <c r="D21" s="25">
        <v>87</v>
      </c>
      <c r="F21" s="18"/>
    </row>
    <row r="22" spans="1:6" ht="19.5">
      <c r="A22" s="140" t="s">
        <v>309</v>
      </c>
      <c r="B22" s="76" t="s">
        <v>190</v>
      </c>
      <c r="C22" s="23">
        <v>40544</v>
      </c>
      <c r="D22" s="25" t="s">
        <v>63</v>
      </c>
      <c r="F22" s="18"/>
    </row>
    <row r="23" spans="1:6" ht="19.5">
      <c r="A23" s="140" t="s">
        <v>310</v>
      </c>
      <c r="B23" s="76" t="s">
        <v>190</v>
      </c>
      <c r="C23" s="23">
        <v>40603</v>
      </c>
      <c r="D23" s="25" t="s">
        <v>63</v>
      </c>
      <c r="F23" s="18"/>
    </row>
    <row r="24" spans="1:6" ht="19.5">
      <c r="A24" s="140" t="s">
        <v>312</v>
      </c>
      <c r="B24" s="76" t="s">
        <v>190</v>
      </c>
      <c r="C24" s="23">
        <v>40952</v>
      </c>
      <c r="D24" s="25" t="s">
        <v>63</v>
      </c>
      <c r="F24" s="18"/>
    </row>
    <row r="25" spans="1:6" ht="19.5">
      <c r="A25" s="140" t="s">
        <v>314</v>
      </c>
      <c r="B25" s="76" t="s">
        <v>235</v>
      </c>
      <c r="C25" s="23">
        <v>41067</v>
      </c>
      <c r="D25" s="25" t="s">
        <v>63</v>
      </c>
      <c r="F25" s="18"/>
    </row>
    <row r="26" spans="1:6" ht="19.5">
      <c r="A26" s="140" t="s">
        <v>315</v>
      </c>
      <c r="B26" s="76" t="s">
        <v>235</v>
      </c>
      <c r="C26" s="23">
        <v>41652</v>
      </c>
      <c r="D26" s="25" t="s">
        <v>63</v>
      </c>
      <c r="F26" s="18"/>
    </row>
    <row r="27" spans="1:6" ht="20.25" thickBot="1">
      <c r="A27" s="133" t="s">
        <v>316</v>
      </c>
      <c r="B27" s="89" t="s">
        <v>235</v>
      </c>
      <c r="C27" s="90">
        <v>42408</v>
      </c>
      <c r="D27" s="91" t="s">
        <v>63</v>
      </c>
      <c r="F27" s="18"/>
    </row>
    <row r="28" spans="1:6" ht="20.25" thickBot="1">
      <c r="A28" s="63"/>
      <c r="B28" s="150"/>
      <c r="C28" s="151"/>
      <c r="D28" s="152"/>
      <c r="F28" s="18"/>
    </row>
    <row r="29" spans="1:6" ht="20.25" thickBot="1">
      <c r="A29" s="195" t="s">
        <v>33</v>
      </c>
      <c r="B29" s="196"/>
      <c r="C29" s="196"/>
      <c r="D29" s="197"/>
    </row>
    <row r="30" spans="1:6" ht="20.25" thickBot="1">
      <c r="A30" s="4" t="s">
        <v>6</v>
      </c>
      <c r="B30" s="5" t="s">
        <v>9</v>
      </c>
      <c r="C30" s="5" t="s">
        <v>19</v>
      </c>
      <c r="D30" s="4" t="s">
        <v>8</v>
      </c>
      <c r="E30" s="44"/>
    </row>
    <row r="31" spans="1:6" ht="20.25" thickBot="1">
      <c r="A31" s="24" t="s">
        <v>139</v>
      </c>
      <c r="B31" s="76" t="s">
        <v>161</v>
      </c>
      <c r="C31" s="23">
        <v>40984</v>
      </c>
      <c r="D31" s="25">
        <f>5+7+6+6+5+7+5+6+5</f>
        <v>52</v>
      </c>
      <c r="E31" s="56" t="s">
        <v>18</v>
      </c>
    </row>
    <row r="32" spans="1:6" ht="20.25" thickBot="1">
      <c r="A32" s="24" t="s">
        <v>180</v>
      </c>
      <c r="B32" s="76" t="s">
        <v>163</v>
      </c>
      <c r="C32" s="23">
        <v>40616</v>
      </c>
      <c r="D32" s="25">
        <f>5+10+8+6+7+7+5+9+8</f>
        <v>65</v>
      </c>
      <c r="E32" s="56" t="s">
        <v>20</v>
      </c>
    </row>
    <row r="33" spans="1:6" ht="20.25" thickBot="1">
      <c r="A33" s="119" t="s">
        <v>115</v>
      </c>
      <c r="B33" s="89" t="s">
        <v>109</v>
      </c>
      <c r="C33" s="90">
        <v>41162</v>
      </c>
      <c r="D33" s="91">
        <v>76</v>
      </c>
    </row>
    <row r="34" spans="1:6" ht="18.75" customHeight="1">
      <c r="D34" s="1"/>
      <c r="F34" s="18"/>
    </row>
    <row r="35" spans="1:6">
      <c r="D35" s="1"/>
    </row>
    <row r="36" spans="1:6">
      <c r="D36" s="1"/>
    </row>
    <row r="37" spans="1:6">
      <c r="D37" s="1"/>
    </row>
    <row r="38" spans="1:6">
      <c r="D38" s="1"/>
    </row>
    <row r="39" spans="1:6">
      <c r="D39" s="1"/>
    </row>
    <row r="40" spans="1:6">
      <c r="D40" s="1"/>
    </row>
    <row r="41" spans="1:6">
      <c r="D41" s="1"/>
    </row>
    <row r="42" spans="1:6">
      <c r="D42" s="1"/>
    </row>
    <row r="43" spans="1:6">
      <c r="D43" s="1"/>
    </row>
    <row r="44" spans="1:6">
      <c r="D44" s="1"/>
    </row>
    <row r="45" spans="1:6">
      <c r="D45" s="1"/>
    </row>
    <row r="46" spans="1:6">
      <c r="D46" s="1"/>
    </row>
    <row r="47" spans="1:6">
      <c r="D47" s="1"/>
    </row>
    <row r="48" spans="1:6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</sheetData>
  <sortState ref="A10:D27">
    <sortCondition ref="D10:D27"/>
  </sortState>
  <mergeCells count="8">
    <mergeCell ref="A29:D29"/>
    <mergeCell ref="A5:D5"/>
    <mergeCell ref="A8:D8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zoomScale="70" workbookViewId="0">
      <selection sqref="A1:D1"/>
    </sheetView>
  </sheetViews>
  <sheetFormatPr baseColWidth="10" defaultRowHeight="18.75"/>
  <cols>
    <col min="1" max="1" width="50.5703125" style="1" customWidth="1"/>
    <col min="2" max="2" width="13.28515625" style="1" bestFit="1" customWidth="1"/>
    <col min="3" max="3" width="16" style="1" bestFit="1" customWidth="1"/>
    <col min="4" max="4" width="10.85546875" style="2" bestFit="1" customWidth="1"/>
    <col min="5" max="5" width="4.28515625" style="1" bestFit="1" customWidth="1"/>
    <col min="6" max="16384" width="11.42578125" style="1"/>
  </cols>
  <sheetData>
    <row r="1" spans="1:5" ht="30.75">
      <c r="A1" s="180" t="str">
        <f>JUV!A1</f>
        <v>3° TORNEO VIRTUAL</v>
      </c>
      <c r="B1" s="180"/>
      <c r="C1" s="180"/>
      <c r="D1" s="180"/>
    </row>
    <row r="2" spans="1:5" ht="23.25">
      <c r="A2" s="184" t="str">
        <f>JUV!A2</f>
        <v>CLUBES DE LA FEDERACION</v>
      </c>
      <c r="B2" s="184"/>
      <c r="C2" s="184"/>
      <c r="D2" s="184"/>
    </row>
    <row r="3" spans="1:5" ht="19.5">
      <c r="A3" s="181" t="s">
        <v>7</v>
      </c>
      <c r="B3" s="181"/>
      <c r="C3" s="181"/>
      <c r="D3" s="181"/>
    </row>
    <row r="4" spans="1:5" ht="26.25">
      <c r="A4" s="182" t="s">
        <v>12</v>
      </c>
      <c r="B4" s="182"/>
      <c r="C4" s="182"/>
      <c r="D4" s="182"/>
    </row>
    <row r="5" spans="1:5" ht="19.5">
      <c r="A5" s="183" t="s">
        <v>14</v>
      </c>
      <c r="B5" s="183"/>
      <c r="C5" s="183"/>
      <c r="D5" s="183"/>
    </row>
    <row r="6" spans="1:5" ht="19.5">
      <c r="A6" s="179" t="str">
        <f>JUV!A6</f>
        <v>07 AL 11 DE NOVIEMBRE DE 2020</v>
      </c>
      <c r="B6" s="179"/>
      <c r="C6" s="179"/>
      <c r="D6" s="179"/>
    </row>
    <row r="7" spans="1:5" ht="19.5" thickBot="1"/>
    <row r="8" spans="1:5" ht="20.25" thickBot="1">
      <c r="A8" s="195" t="s">
        <v>21</v>
      </c>
      <c r="B8" s="196"/>
      <c r="C8" s="196"/>
      <c r="D8" s="197"/>
    </row>
    <row r="9" spans="1:5" ht="20.25" thickBot="1">
      <c r="A9" s="4" t="s">
        <v>0</v>
      </c>
      <c r="B9" s="5" t="s">
        <v>9</v>
      </c>
      <c r="C9" s="5" t="s">
        <v>19</v>
      </c>
      <c r="D9" s="4" t="s">
        <v>8</v>
      </c>
      <c r="E9" s="3"/>
    </row>
    <row r="10" spans="1:5" ht="20.25" thickBot="1">
      <c r="A10" s="100" t="s">
        <v>83</v>
      </c>
      <c r="B10" s="146" t="s">
        <v>74</v>
      </c>
      <c r="C10" s="147">
        <v>38200</v>
      </c>
      <c r="D10" s="148">
        <f>7+6+6+5+6+10+5+4+6</f>
        <v>55</v>
      </c>
      <c r="E10" s="17" t="s">
        <v>18</v>
      </c>
    </row>
    <row r="11" spans="1:5" ht="20.25" thickBot="1">
      <c r="A11" s="24" t="s">
        <v>260</v>
      </c>
      <c r="B11" s="76" t="s">
        <v>74</v>
      </c>
      <c r="C11" s="23">
        <v>37971</v>
      </c>
      <c r="D11" s="25">
        <f>9+7+8+6+4+5+6+7+5</f>
        <v>57</v>
      </c>
      <c r="E11" s="17" t="s">
        <v>20</v>
      </c>
    </row>
    <row r="12" spans="1:5" ht="19.5">
      <c r="A12" s="24" t="s">
        <v>259</v>
      </c>
      <c r="B12" s="76" t="s">
        <v>163</v>
      </c>
      <c r="C12" s="23">
        <v>38848</v>
      </c>
      <c r="D12" s="25">
        <f>6+8+7+6+5+5+6+7+7</f>
        <v>57</v>
      </c>
    </row>
    <row r="13" spans="1:5" ht="19.5">
      <c r="A13" s="24" t="s">
        <v>181</v>
      </c>
      <c r="B13" s="76" t="s">
        <v>163</v>
      </c>
      <c r="C13" s="23">
        <v>38937</v>
      </c>
      <c r="D13" s="25">
        <f>7+7+7+4+7+7+5+10+6</f>
        <v>60</v>
      </c>
    </row>
    <row r="14" spans="1:5" ht="19.5">
      <c r="A14" s="24" t="s">
        <v>233</v>
      </c>
      <c r="B14" s="76" t="s">
        <v>190</v>
      </c>
      <c r="C14" s="23">
        <v>38937</v>
      </c>
      <c r="D14" s="25">
        <v>60</v>
      </c>
    </row>
    <row r="15" spans="1:5" ht="19.5">
      <c r="A15" s="24" t="s">
        <v>84</v>
      </c>
      <c r="B15" s="76" t="s">
        <v>74</v>
      </c>
      <c r="C15" s="23">
        <v>38896</v>
      </c>
      <c r="D15" s="25">
        <f>7+5+9+7+7+5+7+9+5</f>
        <v>61</v>
      </c>
    </row>
    <row r="16" spans="1:5" ht="19.5">
      <c r="A16" s="24" t="s">
        <v>140</v>
      </c>
      <c r="B16" s="76" t="s">
        <v>161</v>
      </c>
      <c r="C16" s="23">
        <v>39000</v>
      </c>
      <c r="D16" s="25">
        <v>67</v>
      </c>
    </row>
    <row r="17" spans="1:4" ht="19.5">
      <c r="A17" s="24" t="s">
        <v>141</v>
      </c>
      <c r="B17" s="76" t="s">
        <v>161</v>
      </c>
      <c r="C17" s="23">
        <v>38204</v>
      </c>
      <c r="D17" s="25">
        <f>7+10+8+7+5+8+7+8+9</f>
        <v>69</v>
      </c>
    </row>
    <row r="18" spans="1:4" ht="19.5">
      <c r="A18" s="24" t="s">
        <v>142</v>
      </c>
      <c r="B18" s="76" t="s">
        <v>161</v>
      </c>
      <c r="C18" s="23">
        <v>39012</v>
      </c>
      <c r="D18" s="25">
        <f>9+8+10+8+6+10+4+8+7</f>
        <v>70</v>
      </c>
    </row>
    <row r="19" spans="1:4" ht="19.5">
      <c r="A19" s="24" t="s">
        <v>287</v>
      </c>
      <c r="B19" s="76" t="s">
        <v>161</v>
      </c>
      <c r="C19" s="23">
        <v>37691</v>
      </c>
      <c r="D19" s="25">
        <v>71</v>
      </c>
    </row>
    <row r="20" spans="1:4" ht="19.5">
      <c r="A20" s="140" t="s">
        <v>288</v>
      </c>
      <c r="B20" s="76" t="s">
        <v>235</v>
      </c>
      <c r="C20" s="23">
        <v>38020</v>
      </c>
      <c r="D20" s="25" t="s">
        <v>63</v>
      </c>
    </row>
    <row r="21" spans="1:4" ht="19.5">
      <c r="A21" s="140" t="s">
        <v>289</v>
      </c>
      <c r="B21" s="76" t="s">
        <v>74</v>
      </c>
      <c r="C21" s="23">
        <v>38186</v>
      </c>
      <c r="D21" s="25" t="s">
        <v>63</v>
      </c>
    </row>
    <row r="22" spans="1:4" ht="20.25" thickBot="1">
      <c r="A22" s="133" t="s">
        <v>290</v>
      </c>
      <c r="B22" s="89" t="s">
        <v>161</v>
      </c>
      <c r="C22" s="90">
        <v>38370</v>
      </c>
      <c r="D22" s="91" t="s">
        <v>63</v>
      </c>
    </row>
  </sheetData>
  <sortState ref="A10:D20">
    <sortCondition ref="D10:D20"/>
  </sortState>
  <mergeCells count="7">
    <mergeCell ref="A8:D8"/>
    <mergeCell ref="A5:D5"/>
    <mergeCell ref="A1:D1"/>
    <mergeCell ref="A2:D2"/>
    <mergeCell ref="A3:D3"/>
    <mergeCell ref="A4:D4"/>
    <mergeCell ref="A6:D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95"/>
  <sheetViews>
    <sheetView zoomScale="70" workbookViewId="0">
      <selection sqref="A1:C1"/>
    </sheetView>
  </sheetViews>
  <sheetFormatPr baseColWidth="10" defaultRowHeight="18.75"/>
  <cols>
    <col min="1" max="1" width="60.28515625" style="1" customWidth="1"/>
    <col min="2" max="2" width="13.28515625" style="2" bestFit="1" customWidth="1"/>
    <col min="3" max="3" width="16" style="1" bestFit="1" customWidth="1"/>
    <col min="4" max="4" width="4.5703125" style="1" bestFit="1" customWidth="1"/>
    <col min="5" max="16384" width="11.42578125" style="1"/>
  </cols>
  <sheetData>
    <row r="1" spans="1:4" ht="30.75">
      <c r="A1" s="180" t="str">
        <f>JUV!A1</f>
        <v>3° TORNEO VIRTUAL</v>
      </c>
      <c r="B1" s="180"/>
      <c r="C1" s="180"/>
    </row>
    <row r="2" spans="1:4" ht="23.25">
      <c r="A2" s="184" t="str">
        <f>JUV!A2</f>
        <v>CLUBES DE LA FEDERACION</v>
      </c>
      <c r="B2" s="184"/>
      <c r="C2" s="184"/>
    </row>
    <row r="3" spans="1:4" ht="19.5">
      <c r="A3" s="181" t="s">
        <v>7</v>
      </c>
      <c r="B3" s="181"/>
      <c r="C3" s="181"/>
    </row>
    <row r="4" spans="1:4" ht="26.25">
      <c r="A4" s="182" t="s">
        <v>12</v>
      </c>
      <c r="B4" s="182"/>
      <c r="C4" s="182"/>
    </row>
    <row r="5" spans="1:4" ht="19.5">
      <c r="A5" s="183" t="s">
        <v>17</v>
      </c>
      <c r="B5" s="183"/>
      <c r="C5" s="183"/>
    </row>
    <row r="6" spans="1:4" ht="19.5">
      <c r="A6" s="179" t="str">
        <f>JUV!A6</f>
        <v>07 AL 11 DE NOVIEMBRE DE 2020</v>
      </c>
      <c r="B6" s="179"/>
      <c r="C6" s="179"/>
    </row>
    <row r="7" spans="1:4" ht="20.25" thickBot="1">
      <c r="A7" s="6"/>
      <c r="B7" s="6"/>
      <c r="C7" s="6"/>
    </row>
    <row r="8" spans="1:4" ht="20.25" thickBot="1">
      <c r="A8" s="189" t="s">
        <v>13</v>
      </c>
      <c r="B8" s="190"/>
      <c r="C8" s="191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9"/>
    </row>
    <row r="10" spans="1:4" ht="20.25" thickBot="1">
      <c r="A10" s="24" t="s">
        <v>256</v>
      </c>
      <c r="B10" s="61" t="s">
        <v>235</v>
      </c>
      <c r="C10" s="25">
        <v>24</v>
      </c>
      <c r="D10" s="17" t="s">
        <v>18</v>
      </c>
    </row>
    <row r="11" spans="1:4" ht="20.25" thickBot="1">
      <c r="A11" s="24" t="s">
        <v>101</v>
      </c>
      <c r="B11" s="61" t="s">
        <v>90</v>
      </c>
      <c r="C11" s="25">
        <f>5+5+7+4+5</f>
        <v>26</v>
      </c>
      <c r="D11" s="17" t="s">
        <v>18</v>
      </c>
    </row>
    <row r="12" spans="1:4" ht="20.25" thickBot="1">
      <c r="A12" s="24" t="s">
        <v>191</v>
      </c>
      <c r="B12" s="61" t="s">
        <v>190</v>
      </c>
      <c r="C12" s="25">
        <v>27</v>
      </c>
      <c r="D12" s="17" t="s">
        <v>18</v>
      </c>
    </row>
    <row r="13" spans="1:4" ht="20.25" thickBot="1">
      <c r="A13" s="24" t="s">
        <v>249</v>
      </c>
      <c r="B13" s="61" t="s">
        <v>235</v>
      </c>
      <c r="C13" s="25">
        <v>27</v>
      </c>
      <c r="D13" s="17" t="s">
        <v>18</v>
      </c>
    </row>
    <row r="14" spans="1:4" ht="20.25" thickBot="1">
      <c r="A14" s="24" t="s">
        <v>251</v>
      </c>
      <c r="B14" s="61" t="s">
        <v>235</v>
      </c>
      <c r="C14" s="25">
        <v>27</v>
      </c>
      <c r="D14" s="17" t="s">
        <v>18</v>
      </c>
    </row>
    <row r="15" spans="1:4" ht="20.25" thickBot="1">
      <c r="A15" s="24" t="s">
        <v>192</v>
      </c>
      <c r="B15" s="61" t="s">
        <v>190</v>
      </c>
      <c r="C15" s="25">
        <v>28</v>
      </c>
      <c r="D15" s="17" t="s">
        <v>5</v>
      </c>
    </row>
    <row r="16" spans="1:4" ht="20.25" thickBot="1">
      <c r="A16" s="24" t="s">
        <v>252</v>
      </c>
      <c r="B16" s="61" t="s">
        <v>235</v>
      </c>
      <c r="C16" s="25">
        <v>28</v>
      </c>
      <c r="D16" s="17" t="s">
        <v>18</v>
      </c>
    </row>
    <row r="17" spans="1:4" ht="20.25" thickBot="1">
      <c r="A17" s="24" t="s">
        <v>117</v>
      </c>
      <c r="B17" s="61" t="s">
        <v>109</v>
      </c>
      <c r="C17" s="25">
        <v>30</v>
      </c>
      <c r="D17" s="17" t="s">
        <v>18</v>
      </c>
    </row>
    <row r="18" spans="1:4" ht="20.25" thickBot="1">
      <c r="A18" s="24" t="s">
        <v>193</v>
      </c>
      <c r="B18" s="61" t="s">
        <v>190</v>
      </c>
      <c r="C18" s="25">
        <v>30</v>
      </c>
      <c r="D18" s="17" t="s">
        <v>18</v>
      </c>
    </row>
    <row r="19" spans="1:4" ht="20.25" thickBot="1">
      <c r="A19" s="24" t="s">
        <v>116</v>
      </c>
      <c r="B19" s="61" t="s">
        <v>109</v>
      </c>
      <c r="C19" s="25">
        <v>31</v>
      </c>
      <c r="D19" s="17" t="s">
        <v>18</v>
      </c>
    </row>
    <row r="20" spans="1:4" ht="20.25" thickBot="1">
      <c r="A20" s="24" t="s">
        <v>194</v>
      </c>
      <c r="B20" s="61" t="s">
        <v>190</v>
      </c>
      <c r="C20" s="25">
        <v>31</v>
      </c>
      <c r="D20" s="17" t="s">
        <v>18</v>
      </c>
    </row>
    <row r="21" spans="1:4" ht="20.25" thickBot="1">
      <c r="A21" s="24" t="s">
        <v>322</v>
      </c>
      <c r="B21" s="61" t="s">
        <v>109</v>
      </c>
      <c r="C21" s="25">
        <v>32</v>
      </c>
      <c r="D21" s="17" t="s">
        <v>18</v>
      </c>
    </row>
    <row r="22" spans="1:4" ht="20.25" thickBot="1">
      <c r="A22" s="24" t="s">
        <v>143</v>
      </c>
      <c r="B22" s="61" t="s">
        <v>161</v>
      </c>
      <c r="C22" s="25">
        <f>7+6+7+7+5</f>
        <v>32</v>
      </c>
      <c r="D22" s="17" t="s">
        <v>18</v>
      </c>
    </row>
    <row r="23" spans="1:4" ht="20.25" thickBot="1">
      <c r="A23" s="24" t="s">
        <v>195</v>
      </c>
      <c r="B23" s="61" t="s">
        <v>190</v>
      </c>
      <c r="C23" s="25">
        <v>32</v>
      </c>
      <c r="D23" s="17" t="s">
        <v>18</v>
      </c>
    </row>
    <row r="24" spans="1:4" ht="20.25" thickBot="1">
      <c r="A24" s="24" t="s">
        <v>253</v>
      </c>
      <c r="B24" s="61" t="s">
        <v>235</v>
      </c>
      <c r="C24" s="25">
        <v>32</v>
      </c>
      <c r="D24" s="17" t="s">
        <v>18</v>
      </c>
    </row>
    <row r="25" spans="1:4" ht="20.25" thickBot="1">
      <c r="A25" s="24" t="s">
        <v>144</v>
      </c>
      <c r="B25" s="61" t="s">
        <v>161</v>
      </c>
      <c r="C25" s="25">
        <f>7+5+9+7+5</f>
        <v>33</v>
      </c>
      <c r="D25" s="17" t="s">
        <v>18</v>
      </c>
    </row>
    <row r="26" spans="1:4" ht="20.25" thickBot="1">
      <c r="A26" s="24" t="s">
        <v>145</v>
      </c>
      <c r="B26" s="61" t="s">
        <v>161</v>
      </c>
      <c r="C26" s="25">
        <f>7+6+9+6+5</f>
        <v>33</v>
      </c>
      <c r="D26" s="17" t="s">
        <v>18</v>
      </c>
    </row>
    <row r="27" spans="1:4" ht="20.25" thickBot="1">
      <c r="A27" s="24" t="s">
        <v>196</v>
      </c>
      <c r="B27" s="61" t="s">
        <v>190</v>
      </c>
      <c r="C27" s="25">
        <v>33</v>
      </c>
      <c r="D27" s="17" t="s">
        <v>18</v>
      </c>
    </row>
    <row r="28" spans="1:4" ht="20.25" thickBot="1">
      <c r="A28" s="24" t="s">
        <v>197</v>
      </c>
      <c r="B28" s="61" t="s">
        <v>190</v>
      </c>
      <c r="C28" s="25">
        <v>33</v>
      </c>
      <c r="D28" s="17" t="s">
        <v>18</v>
      </c>
    </row>
    <row r="29" spans="1:4" ht="20.25" thickBot="1">
      <c r="A29" s="24" t="s">
        <v>102</v>
      </c>
      <c r="B29" s="61" t="s">
        <v>90</v>
      </c>
      <c r="C29" s="25">
        <f>7+7+8+6+6</f>
        <v>34</v>
      </c>
      <c r="D29" s="17" t="s">
        <v>18</v>
      </c>
    </row>
    <row r="30" spans="1:4" ht="20.25" thickBot="1">
      <c r="A30" s="24" t="s">
        <v>118</v>
      </c>
      <c r="B30" s="61" t="s">
        <v>109</v>
      </c>
      <c r="C30" s="25">
        <v>34</v>
      </c>
      <c r="D30" s="17" t="s">
        <v>18</v>
      </c>
    </row>
    <row r="31" spans="1:4" ht="20.25" thickBot="1">
      <c r="A31" s="24" t="s">
        <v>323</v>
      </c>
      <c r="B31" s="61" t="s">
        <v>109</v>
      </c>
      <c r="C31" s="25">
        <v>34</v>
      </c>
      <c r="D31" s="17" t="s">
        <v>18</v>
      </c>
    </row>
    <row r="32" spans="1:4" ht="20.25" thickBot="1">
      <c r="A32" s="24" t="s">
        <v>146</v>
      </c>
      <c r="B32" s="61" t="s">
        <v>161</v>
      </c>
      <c r="C32" s="25">
        <f>7+5+10+9+3</f>
        <v>34</v>
      </c>
      <c r="D32" s="17" t="s">
        <v>18</v>
      </c>
    </row>
    <row r="33" spans="1:4" ht="20.25" thickBot="1">
      <c r="A33" s="24" t="s">
        <v>147</v>
      </c>
      <c r="B33" s="61" t="s">
        <v>161</v>
      </c>
      <c r="C33" s="25">
        <f>7+4+10+8+5</f>
        <v>34</v>
      </c>
      <c r="D33" s="17" t="s">
        <v>18</v>
      </c>
    </row>
    <row r="34" spans="1:4" ht="20.25" thickBot="1">
      <c r="A34" s="24" t="s">
        <v>198</v>
      </c>
      <c r="B34" s="61" t="s">
        <v>190</v>
      </c>
      <c r="C34" s="25">
        <v>34</v>
      </c>
      <c r="D34" s="17" t="s">
        <v>18</v>
      </c>
    </row>
    <row r="35" spans="1:4" ht="20.25" thickBot="1">
      <c r="A35" s="24" t="s">
        <v>174</v>
      </c>
      <c r="B35" s="61" t="s">
        <v>163</v>
      </c>
      <c r="C35" s="25">
        <f>6+7+8+5+8</f>
        <v>34</v>
      </c>
      <c r="D35" s="17" t="s">
        <v>18</v>
      </c>
    </row>
    <row r="36" spans="1:4" ht="20.25" thickBot="1">
      <c r="A36" s="24" t="s">
        <v>103</v>
      </c>
      <c r="B36" s="61" t="s">
        <v>90</v>
      </c>
      <c r="C36" s="25">
        <f>7+7+7+6+8</f>
        <v>35</v>
      </c>
      <c r="D36" s="17" t="s">
        <v>18</v>
      </c>
    </row>
    <row r="37" spans="1:4" ht="20.25" thickBot="1">
      <c r="A37" s="24" t="s">
        <v>148</v>
      </c>
      <c r="B37" s="61" t="s">
        <v>161</v>
      </c>
      <c r="C37" s="25">
        <f>8+6+9+4+8</f>
        <v>35</v>
      </c>
      <c r="D37" s="17" t="s">
        <v>18</v>
      </c>
    </row>
    <row r="38" spans="1:4" ht="20.25" thickBot="1">
      <c r="A38" s="24" t="s">
        <v>182</v>
      </c>
      <c r="B38" s="61" t="s">
        <v>163</v>
      </c>
      <c r="C38" s="25">
        <f>7+6+10+5+7</f>
        <v>35</v>
      </c>
      <c r="D38" s="17" t="s">
        <v>18</v>
      </c>
    </row>
    <row r="39" spans="1:4" ht="20.25" thickBot="1">
      <c r="A39" s="24" t="s">
        <v>199</v>
      </c>
      <c r="B39" s="61" t="s">
        <v>190</v>
      </c>
      <c r="C39" s="25">
        <v>35</v>
      </c>
      <c r="D39" s="17" t="s">
        <v>18</v>
      </c>
    </row>
    <row r="40" spans="1:4" ht="20.25" thickBot="1">
      <c r="A40" s="24" t="s">
        <v>200</v>
      </c>
      <c r="B40" s="61" t="s">
        <v>190</v>
      </c>
      <c r="C40" s="25">
        <v>35</v>
      </c>
      <c r="D40" s="17" t="s">
        <v>18</v>
      </c>
    </row>
    <row r="41" spans="1:4" ht="20.25" thickBot="1">
      <c r="A41" s="24" t="s">
        <v>254</v>
      </c>
      <c r="B41" s="61" t="s">
        <v>235</v>
      </c>
      <c r="C41" s="25">
        <v>35</v>
      </c>
      <c r="D41" s="17" t="s">
        <v>18</v>
      </c>
    </row>
    <row r="42" spans="1:4" ht="20.25" thickBot="1">
      <c r="A42" s="24" t="s">
        <v>104</v>
      </c>
      <c r="B42" s="61" t="s">
        <v>90</v>
      </c>
      <c r="C42" s="25">
        <f>9+10+7+7+3</f>
        <v>36</v>
      </c>
      <c r="D42" s="17" t="s">
        <v>18</v>
      </c>
    </row>
    <row r="43" spans="1:4" ht="20.25" thickBot="1">
      <c r="A43" s="24" t="s">
        <v>149</v>
      </c>
      <c r="B43" s="61" t="s">
        <v>161</v>
      </c>
      <c r="C43" s="25">
        <f>7+7+9+7+6</f>
        <v>36</v>
      </c>
      <c r="D43" s="17" t="s">
        <v>18</v>
      </c>
    </row>
    <row r="44" spans="1:4" ht="20.25" thickBot="1">
      <c r="A44" s="24" t="s">
        <v>150</v>
      </c>
      <c r="B44" s="61" t="s">
        <v>161</v>
      </c>
      <c r="C44" s="25">
        <f>4+7+10+9+6</f>
        <v>36</v>
      </c>
      <c r="D44" s="17" t="s">
        <v>18</v>
      </c>
    </row>
    <row r="45" spans="1:4" ht="20.25" thickBot="1">
      <c r="A45" s="24" t="s">
        <v>201</v>
      </c>
      <c r="B45" s="61" t="s">
        <v>190</v>
      </c>
      <c r="C45" s="25">
        <v>36</v>
      </c>
      <c r="D45" s="17" t="s">
        <v>18</v>
      </c>
    </row>
    <row r="46" spans="1:4" ht="20.25" thickBot="1">
      <c r="A46" s="24" t="s">
        <v>151</v>
      </c>
      <c r="B46" s="61" t="s">
        <v>161</v>
      </c>
      <c r="C46" s="25">
        <f>6+9+7+8+8</f>
        <v>38</v>
      </c>
      <c r="D46" s="17" t="s">
        <v>18</v>
      </c>
    </row>
    <row r="47" spans="1:4" ht="20.25" thickBot="1">
      <c r="A47" s="24" t="s">
        <v>202</v>
      </c>
      <c r="B47" s="61" t="s">
        <v>190</v>
      </c>
      <c r="C47" s="25">
        <v>39</v>
      </c>
      <c r="D47" s="17" t="s">
        <v>18</v>
      </c>
    </row>
    <row r="48" spans="1:4" ht="20.25" thickBot="1">
      <c r="A48" s="24" t="s">
        <v>203</v>
      </c>
      <c r="B48" s="61" t="s">
        <v>190</v>
      </c>
      <c r="C48" s="25">
        <v>39</v>
      </c>
      <c r="D48" s="17" t="s">
        <v>18</v>
      </c>
    </row>
    <row r="49" spans="1:4" ht="20.25" thickBot="1">
      <c r="A49" s="24" t="s">
        <v>176</v>
      </c>
      <c r="B49" s="61" t="s">
        <v>163</v>
      </c>
      <c r="C49" s="25">
        <f>7+8+8+6+10</f>
        <v>39</v>
      </c>
      <c r="D49" s="17" t="s">
        <v>18</v>
      </c>
    </row>
    <row r="50" spans="1:4" ht="20.25" thickBot="1">
      <c r="A50" s="24" t="s">
        <v>152</v>
      </c>
      <c r="B50" s="61" t="s">
        <v>161</v>
      </c>
      <c r="C50" s="25">
        <f>7+10+10+6+7</f>
        <v>40</v>
      </c>
      <c r="D50" s="17" t="s">
        <v>18</v>
      </c>
    </row>
    <row r="51" spans="1:4" ht="20.25" thickBot="1">
      <c r="A51" s="24" t="s">
        <v>204</v>
      </c>
      <c r="B51" s="61" t="s">
        <v>190</v>
      </c>
      <c r="C51" s="25">
        <v>40</v>
      </c>
      <c r="D51" s="17" t="s">
        <v>18</v>
      </c>
    </row>
    <row r="52" spans="1:4" ht="20.25" thickBot="1">
      <c r="A52" s="24" t="s">
        <v>205</v>
      </c>
      <c r="B52" s="61" t="s">
        <v>190</v>
      </c>
      <c r="C52" s="25">
        <v>40</v>
      </c>
      <c r="D52" s="17" t="s">
        <v>18</v>
      </c>
    </row>
    <row r="53" spans="1:4" ht="20.25" thickBot="1">
      <c r="A53" s="24" t="s">
        <v>206</v>
      </c>
      <c r="B53" s="61" t="s">
        <v>190</v>
      </c>
      <c r="C53" s="25">
        <v>40</v>
      </c>
      <c r="D53" s="17" t="s">
        <v>18</v>
      </c>
    </row>
    <row r="54" spans="1:4" ht="20.25" thickBot="1">
      <c r="A54" s="24" t="s">
        <v>250</v>
      </c>
      <c r="B54" s="61" t="s">
        <v>235</v>
      </c>
      <c r="C54" s="25">
        <v>40</v>
      </c>
      <c r="D54" s="17" t="s">
        <v>18</v>
      </c>
    </row>
    <row r="55" spans="1:4" ht="20.25" thickBot="1">
      <c r="A55" s="24" t="s">
        <v>153</v>
      </c>
      <c r="B55" s="61" t="s">
        <v>161</v>
      </c>
      <c r="C55" s="25">
        <f>10+8+10+9+4</f>
        <v>41</v>
      </c>
      <c r="D55" s="17" t="s">
        <v>18</v>
      </c>
    </row>
    <row r="56" spans="1:4" ht="20.25" thickBot="1">
      <c r="A56" s="24" t="s">
        <v>188</v>
      </c>
      <c r="B56" s="61" t="s">
        <v>163</v>
      </c>
      <c r="C56" s="25">
        <f>8+8+10+9+6</f>
        <v>41</v>
      </c>
      <c r="D56" s="17" t="s">
        <v>18</v>
      </c>
    </row>
    <row r="57" spans="1:4" ht="20.25" thickBot="1">
      <c r="A57" s="24" t="s">
        <v>189</v>
      </c>
      <c r="B57" s="61" t="s">
        <v>163</v>
      </c>
      <c r="C57" s="25">
        <f>7+7+7+10+10</f>
        <v>41</v>
      </c>
      <c r="D57" s="17" t="s">
        <v>18</v>
      </c>
    </row>
    <row r="58" spans="1:4" ht="20.25" thickBot="1">
      <c r="A58" s="24" t="s">
        <v>154</v>
      </c>
      <c r="B58" s="61" t="s">
        <v>161</v>
      </c>
      <c r="C58" s="25">
        <f>10+7+10+8+7</f>
        <v>42</v>
      </c>
      <c r="D58" s="17" t="s">
        <v>18</v>
      </c>
    </row>
    <row r="59" spans="1:4" ht="20.25" thickBot="1">
      <c r="A59" s="24" t="s">
        <v>184</v>
      </c>
      <c r="B59" s="61" t="s">
        <v>163</v>
      </c>
      <c r="C59" s="25">
        <f>10+7+9+10+6</f>
        <v>42</v>
      </c>
      <c r="D59" s="17" t="s">
        <v>18</v>
      </c>
    </row>
    <row r="60" spans="1:4" ht="20.25" thickBot="1">
      <c r="A60" s="24" t="s">
        <v>186</v>
      </c>
      <c r="B60" s="61" t="s">
        <v>163</v>
      </c>
      <c r="C60" s="25">
        <f>8+7+7+10+10</f>
        <v>42</v>
      </c>
      <c r="D60" s="17" t="s">
        <v>18</v>
      </c>
    </row>
    <row r="61" spans="1:4" ht="20.25" thickBot="1">
      <c r="A61" s="24" t="s">
        <v>207</v>
      </c>
      <c r="B61" s="61" t="s">
        <v>190</v>
      </c>
      <c r="C61" s="25">
        <v>42</v>
      </c>
      <c r="D61" s="17" t="s">
        <v>18</v>
      </c>
    </row>
    <row r="62" spans="1:4" ht="20.25" thickBot="1">
      <c r="A62" s="24" t="s">
        <v>155</v>
      </c>
      <c r="B62" s="61" t="s">
        <v>161</v>
      </c>
      <c r="C62" s="25">
        <f>9+10+10+9+5</f>
        <v>43</v>
      </c>
      <c r="D62" s="17" t="s">
        <v>18</v>
      </c>
    </row>
    <row r="63" spans="1:4" ht="20.25" thickBot="1">
      <c r="A63" s="24" t="s">
        <v>156</v>
      </c>
      <c r="B63" s="61" t="s">
        <v>161</v>
      </c>
      <c r="C63" s="25">
        <f>9+10+10+9+6</f>
        <v>44</v>
      </c>
      <c r="D63" s="17" t="s">
        <v>18</v>
      </c>
    </row>
    <row r="64" spans="1:4" ht="20.25" thickBot="1">
      <c r="A64" s="24" t="s">
        <v>157</v>
      </c>
      <c r="B64" s="61" t="s">
        <v>161</v>
      </c>
      <c r="C64" s="25">
        <f>6+10+10+10+8</f>
        <v>44</v>
      </c>
      <c r="D64" s="17" t="s">
        <v>18</v>
      </c>
    </row>
    <row r="65" spans="1:4" ht="20.25" thickBot="1">
      <c r="A65" s="24" t="s">
        <v>208</v>
      </c>
      <c r="B65" s="61" t="s">
        <v>190</v>
      </c>
      <c r="C65" s="25">
        <v>44</v>
      </c>
      <c r="D65" s="17" t="s">
        <v>18</v>
      </c>
    </row>
    <row r="66" spans="1:4" ht="20.25" thickBot="1">
      <c r="A66" s="24" t="s">
        <v>158</v>
      </c>
      <c r="B66" s="61" t="s">
        <v>161</v>
      </c>
      <c r="C66" s="25">
        <f>10+7+10+10+8</f>
        <v>45</v>
      </c>
      <c r="D66" s="17" t="s">
        <v>18</v>
      </c>
    </row>
    <row r="67" spans="1:4" ht="20.25" thickBot="1">
      <c r="A67" s="24" t="s">
        <v>159</v>
      </c>
      <c r="B67" s="61" t="s">
        <v>161</v>
      </c>
      <c r="C67" s="25">
        <f>10+10+10+10+5</f>
        <v>45</v>
      </c>
      <c r="D67" s="17" t="s">
        <v>18</v>
      </c>
    </row>
    <row r="68" spans="1:4" ht="20.25" thickBot="1">
      <c r="A68" s="24" t="s">
        <v>183</v>
      </c>
      <c r="B68" s="61" t="s">
        <v>163</v>
      </c>
      <c r="C68" s="25">
        <f>9+10+9+9+8</f>
        <v>45</v>
      </c>
      <c r="D68" s="17" t="s">
        <v>18</v>
      </c>
    </row>
    <row r="69" spans="1:4" ht="20.25" thickBot="1">
      <c r="A69" s="24" t="s">
        <v>185</v>
      </c>
      <c r="B69" s="61" t="s">
        <v>163</v>
      </c>
      <c r="C69" s="25">
        <f>10+8+8+10+9</f>
        <v>45</v>
      </c>
      <c r="D69" s="17" t="s">
        <v>18</v>
      </c>
    </row>
    <row r="70" spans="1:4" ht="20.25" thickBot="1">
      <c r="A70" s="24" t="s">
        <v>209</v>
      </c>
      <c r="B70" s="61" t="s">
        <v>190</v>
      </c>
      <c r="C70" s="25">
        <v>45</v>
      </c>
      <c r="D70" s="17" t="s">
        <v>18</v>
      </c>
    </row>
    <row r="71" spans="1:4" ht="20.25" thickBot="1">
      <c r="A71" s="24" t="s">
        <v>210</v>
      </c>
      <c r="B71" s="61" t="s">
        <v>190</v>
      </c>
      <c r="C71" s="25">
        <v>46</v>
      </c>
      <c r="D71" s="17" t="s">
        <v>18</v>
      </c>
    </row>
    <row r="72" spans="1:4" ht="20.25" thickBot="1">
      <c r="A72" s="24" t="s">
        <v>105</v>
      </c>
      <c r="B72" s="61" t="s">
        <v>90</v>
      </c>
      <c r="C72" s="25">
        <f>10+10+10+10+7</f>
        <v>47</v>
      </c>
      <c r="D72" s="17" t="s">
        <v>18</v>
      </c>
    </row>
    <row r="73" spans="1:4" ht="20.25" thickBot="1">
      <c r="A73" s="24" t="s">
        <v>160</v>
      </c>
      <c r="B73" s="61" t="s">
        <v>161</v>
      </c>
      <c r="C73" s="25">
        <f>10+10+10+10+7</f>
        <v>47</v>
      </c>
      <c r="D73" s="17" t="s">
        <v>18</v>
      </c>
    </row>
    <row r="74" spans="1:4" ht="20.25" thickBot="1">
      <c r="A74" s="24" t="s">
        <v>187</v>
      </c>
      <c r="B74" s="61" t="s">
        <v>163</v>
      </c>
      <c r="C74" s="25">
        <f>10+10+10+8+9</f>
        <v>47</v>
      </c>
      <c r="D74" s="17" t="s">
        <v>18</v>
      </c>
    </row>
    <row r="75" spans="1:4" ht="20.25" thickBot="1">
      <c r="A75" s="24" t="s">
        <v>255</v>
      </c>
      <c r="B75" s="61" t="s">
        <v>235</v>
      </c>
      <c r="C75" s="25">
        <v>48</v>
      </c>
      <c r="D75" s="17" t="s">
        <v>18</v>
      </c>
    </row>
    <row r="76" spans="1:4" ht="20.25" thickBot="1">
      <c r="A76" s="140" t="s">
        <v>304</v>
      </c>
      <c r="B76" s="61" t="s">
        <v>90</v>
      </c>
      <c r="C76" s="25" t="s">
        <v>63</v>
      </c>
      <c r="D76" s="17" t="s">
        <v>18</v>
      </c>
    </row>
    <row r="77" spans="1:4" ht="20.25" thickBot="1">
      <c r="A77" s="140" t="s">
        <v>305</v>
      </c>
      <c r="B77" s="61" t="s">
        <v>90</v>
      </c>
      <c r="C77" s="25" t="s">
        <v>63</v>
      </c>
      <c r="D77" s="17" t="s">
        <v>18</v>
      </c>
    </row>
    <row r="78" spans="1:4" ht="20.25" thickBot="1">
      <c r="A78" s="140" t="s">
        <v>308</v>
      </c>
      <c r="B78" s="61" t="s">
        <v>90</v>
      </c>
      <c r="C78" s="25" t="s">
        <v>63</v>
      </c>
      <c r="D78" s="17" t="s">
        <v>18</v>
      </c>
    </row>
    <row r="79" spans="1:4" ht="20.25" thickBot="1">
      <c r="A79" s="140" t="s">
        <v>317</v>
      </c>
      <c r="B79" s="61" t="s">
        <v>90</v>
      </c>
      <c r="C79" s="25" t="s">
        <v>63</v>
      </c>
      <c r="D79" s="17" t="s">
        <v>18</v>
      </c>
    </row>
    <row r="80" spans="1:4" ht="20.25" thickBot="1">
      <c r="A80" s="140" t="s">
        <v>318</v>
      </c>
      <c r="B80" s="61" t="s">
        <v>161</v>
      </c>
      <c r="C80" s="25" t="s">
        <v>63</v>
      </c>
      <c r="D80" s="17" t="s">
        <v>18</v>
      </c>
    </row>
    <row r="81" spans="1:4" ht="20.25" thickBot="1">
      <c r="A81" s="140" t="s">
        <v>319</v>
      </c>
      <c r="B81" s="61" t="s">
        <v>161</v>
      </c>
      <c r="C81" s="25" t="s">
        <v>63</v>
      </c>
      <c r="D81" s="17" t="s">
        <v>18</v>
      </c>
    </row>
    <row r="82" spans="1:4" ht="20.25" thickBot="1">
      <c r="A82" s="140" t="s">
        <v>320</v>
      </c>
      <c r="B82" s="61" t="s">
        <v>109</v>
      </c>
      <c r="C82" s="25" t="s">
        <v>63</v>
      </c>
      <c r="D82" s="17" t="s">
        <v>18</v>
      </c>
    </row>
    <row r="83" spans="1:4" ht="20.25" thickBot="1">
      <c r="A83" s="133" t="s">
        <v>321</v>
      </c>
      <c r="B83" s="157" t="s">
        <v>235</v>
      </c>
      <c r="C83" s="91" t="s">
        <v>63</v>
      </c>
      <c r="D83" s="17" t="s">
        <v>18</v>
      </c>
    </row>
    <row r="84" spans="1:4" ht="19.5">
      <c r="A84" s="63"/>
      <c r="B84" s="62"/>
      <c r="C84" s="152"/>
    </row>
    <row r="85" spans="1:4" ht="19.5" thickBot="1">
      <c r="B85" s="1"/>
    </row>
    <row r="86" spans="1:4" ht="20.25" thickBot="1">
      <c r="A86" s="189" t="s">
        <v>13</v>
      </c>
      <c r="B86" s="190"/>
      <c r="C86" s="191"/>
    </row>
    <row r="87" spans="1:4" ht="20.25" thickBot="1">
      <c r="A87" s="4" t="s">
        <v>0</v>
      </c>
      <c r="B87" s="4" t="s">
        <v>9</v>
      </c>
      <c r="C87" s="4" t="s">
        <v>8</v>
      </c>
    </row>
    <row r="88" spans="1:4" ht="20.25" thickBot="1">
      <c r="A88" s="119" t="s">
        <v>86</v>
      </c>
      <c r="B88" s="157" t="s">
        <v>74</v>
      </c>
      <c r="C88" s="91">
        <f>7+6+5+8+8</f>
        <v>34</v>
      </c>
      <c r="D88" s="17" t="s">
        <v>18</v>
      </c>
    </row>
    <row r="89" spans="1:4">
      <c r="B89" s="1"/>
    </row>
    <row r="90" spans="1:4">
      <c r="B90" s="1"/>
    </row>
    <row r="91" spans="1:4">
      <c r="B91" s="1"/>
    </row>
    <row r="92" spans="1:4">
      <c r="B92" s="1"/>
    </row>
    <row r="93" spans="1:4">
      <c r="B93" s="1"/>
    </row>
    <row r="94" spans="1:4">
      <c r="B94" s="1"/>
    </row>
    <row r="95" spans="1:4">
      <c r="B95" s="1"/>
    </row>
  </sheetData>
  <sortState ref="A10:C83">
    <sortCondition ref="C10:C83"/>
  </sortState>
  <mergeCells count="8">
    <mergeCell ref="A86:C86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RESUMEN DE JUGADORES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2020-11-12T19:37:46Z</cp:lastPrinted>
  <dcterms:created xsi:type="dcterms:W3CDTF">2000-04-30T13:23:02Z</dcterms:created>
  <dcterms:modified xsi:type="dcterms:W3CDTF">2020-11-13T20:13:16Z</dcterms:modified>
</cp:coreProperties>
</file>